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trlProps/ctrlProp1.xml" ContentType="application/vnd.ms-excel.controlproperties+xml"/>
  <Override PartName="/xl/ctrlProps/ctrlProp2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ölkerung - Strukturerhebung\2023\"/>
    </mc:Choice>
  </mc:AlternateContent>
  <workbookProtection lockStructure="1"/>
  <bookViews>
    <workbookView xWindow="-120" yWindow="-120" windowWidth="29040" windowHeight="15720"/>
  </bookViews>
  <sheets>
    <sheet name="Kantone" sheetId="28" r:id="rId1"/>
    <sheet name="Graubünden" sheetId="27" r:id="rId2"/>
    <sheet name="Uebersetzungen" sheetId="29" state="hidden" r:id="rId3"/>
  </sheets>
  <definedNames>
    <definedName name="_xlnm.Print_Area" localSheetId="1">Graubünden!$A$1:$Q$56</definedName>
    <definedName name="_xlnm.Print_Area" localSheetId="0">Kantone!$A$1:$P$49</definedName>
  </definedNames>
  <calcPr calcId="162913"/>
</workbook>
</file>

<file path=xl/calcChain.xml><?xml version="1.0" encoding="utf-8"?>
<calcChain xmlns="http://schemas.openxmlformats.org/spreadsheetml/2006/main">
  <c r="A27" i="27" l="1"/>
  <c r="B27" i="27"/>
  <c r="B28" i="27"/>
  <c r="B29" i="27"/>
  <c r="B30" i="27"/>
  <c r="B31" i="27"/>
  <c r="A32" i="27"/>
  <c r="B32" i="27"/>
  <c r="B33" i="27"/>
  <c r="B34" i="27"/>
  <c r="A35" i="27"/>
  <c r="B35" i="27"/>
  <c r="B36" i="27"/>
  <c r="B37" i="27"/>
  <c r="B38" i="27"/>
  <c r="B39" i="27"/>
  <c r="B40" i="27"/>
  <c r="B41" i="27"/>
  <c r="B42" i="27"/>
  <c r="B43" i="27"/>
  <c r="B44" i="27"/>
  <c r="B45" i="27"/>
  <c r="A46" i="27"/>
  <c r="B46" i="27"/>
  <c r="B47" i="27"/>
  <c r="B48" i="27"/>
  <c r="O13" i="27" l="1"/>
  <c r="M13" i="27"/>
  <c r="K13" i="27"/>
  <c r="I13" i="27"/>
  <c r="G13" i="27"/>
  <c r="C13" i="27"/>
  <c r="B26" i="27" l="1"/>
  <c r="B25" i="27"/>
  <c r="B24" i="27"/>
  <c r="B23" i="27"/>
  <c r="L14" i="27"/>
  <c r="K14" i="27"/>
  <c r="J14" i="27"/>
  <c r="I14" i="27"/>
  <c r="H14" i="27"/>
  <c r="G14" i="27"/>
  <c r="N13" i="28" l="1"/>
  <c r="L13" i="28"/>
  <c r="J13" i="28"/>
  <c r="H13" i="28"/>
  <c r="F13" i="28"/>
  <c r="D13" i="28"/>
  <c r="B13" i="28"/>
  <c r="I14" i="28"/>
  <c r="H14" i="28"/>
  <c r="G14" i="28"/>
  <c r="F14" i="28"/>
  <c r="E14" i="28"/>
  <c r="D14" i="28"/>
  <c r="B21" i="27" l="1"/>
  <c r="P14" i="27"/>
  <c r="O14" i="27"/>
  <c r="N14" i="27"/>
  <c r="M14" i="27"/>
  <c r="F14" i="27"/>
  <c r="E14" i="27"/>
  <c r="E13" i="27"/>
  <c r="O14" i="28" l="1"/>
  <c r="N14" i="28"/>
  <c r="M14" i="28"/>
  <c r="L14" i="28"/>
  <c r="K14" i="28"/>
  <c r="J14" i="28"/>
  <c r="A53" i="27" l="1"/>
  <c r="A52" i="27"/>
  <c r="A51" i="27"/>
  <c r="A50" i="27"/>
  <c r="A46" i="28"/>
  <c r="A45" i="28"/>
  <c r="A44" i="28"/>
  <c r="D14" i="27"/>
  <c r="C14" i="27"/>
  <c r="A10" i="27"/>
  <c r="A9" i="27"/>
  <c r="A9" i="28"/>
  <c r="A7" i="27"/>
  <c r="A7" i="28"/>
  <c r="A56" i="27"/>
  <c r="A55" i="27"/>
  <c r="B22" i="27"/>
  <c r="B20" i="27"/>
  <c r="B19" i="27"/>
  <c r="B18" i="27"/>
  <c r="B16" i="27"/>
  <c r="B17" i="27"/>
  <c r="A16" i="27"/>
  <c r="A22" i="27"/>
  <c r="A18" i="27"/>
  <c r="A15" i="27"/>
  <c r="C14" i="28"/>
  <c r="B14" i="28"/>
  <c r="A49" i="28" l="1"/>
  <c r="A48" i="28"/>
  <c r="A43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0" i="28"/>
</calcChain>
</file>

<file path=xl/sharedStrings.xml><?xml version="1.0" encoding="utf-8"?>
<sst xmlns="http://schemas.openxmlformats.org/spreadsheetml/2006/main" count="471" uniqueCount="344">
  <si>
    <t>Total</t>
  </si>
  <si>
    <t>Anzahl Personen</t>
  </si>
  <si>
    <t>Zürich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</si>
  <si>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</si>
  <si>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</si>
  <si>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</si>
  <si>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</si>
  <si>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</si>
  <si>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</si>
  <si>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</si>
  <si>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</si>
  <si>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</si>
  <si>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</si>
  <si>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</si>
  <si>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Ausserrhoden</t>
  </si>
  <si>
    <t>Appenzell Innerrhoden</t>
  </si>
  <si>
    <t>St. Gallen</t>
  </si>
  <si>
    <t>Aargau</t>
  </si>
  <si>
    <t>Thurgau</t>
  </si>
  <si>
    <t>Jura</t>
  </si>
  <si>
    <t>(): Extrapolation aufgrund von 49 oder weniger Beobachtungen. Die Resultate sind mit grosser Vorsicht zu interpretieren.</t>
  </si>
  <si>
    <t>X: Extrapolation aufgrund von 4 oder weniger Beobachtungen. Die Resultate werden aus Gründen des Datenschutzes nicht publiziert.</t>
  </si>
  <si>
    <t>Die Grundgesamtheit der Strukturerhebung enthält alle Personen der ständigen Wohnbevölkerung ab vollendetem 15. Altersjahr, die in Privathaushalten leben.</t>
  </si>
  <si>
    <t>Aus der Grundgesamtheit ausgeschlossen wurden neben den Personen, die in Kollektivhaushalten leben, auch Diplomaten, internationale Funktionäre und deren Angehörige.</t>
  </si>
  <si>
    <t>Geschlecht</t>
  </si>
  <si>
    <t>Männer</t>
  </si>
  <si>
    <t>Frauen</t>
  </si>
  <si>
    <t>Alter</t>
  </si>
  <si>
    <t>Arbeitsmarktstatus</t>
  </si>
  <si>
    <t>Erwerbstätige</t>
  </si>
  <si>
    <t>Erwerbslose</t>
  </si>
  <si>
    <t>Nichterwerbspersonen</t>
  </si>
  <si>
    <t>Sozioprofessionelle Kategorien</t>
  </si>
  <si>
    <t>Oberstes Management</t>
  </si>
  <si>
    <t>Freie und gleichgestellte Berufe</t>
  </si>
  <si>
    <t>Andere Selbstständige</t>
  </si>
  <si>
    <t>Akademische Berufe und oberes Kader</t>
  </si>
  <si>
    <t>Intermediäre Berufe</t>
  </si>
  <si>
    <t>Qualifizierte nichtmanuelle Berufe</t>
  </si>
  <si>
    <t>Qualifizierte manuelle Berufe</t>
  </si>
  <si>
    <t>Ungelernte Angestellte und Arbeiter</t>
  </si>
  <si>
    <t>Lernende in dualer beruflicher Grundbildung (Lehrlinge)</t>
  </si>
  <si>
    <t>Nicht zuteilbare Erwerbstätige (fehlende oder unklare Basisdaten oder unplausible Kombination)</t>
  </si>
  <si>
    <t>Erwerbslose und Nichterwerbspersonen</t>
  </si>
  <si>
    <t>Höchste abgeschlossene Ausbildung</t>
  </si>
  <si>
    <t>Sekundarstufe II</t>
  </si>
  <si>
    <t>Tertiärstufe</t>
  </si>
  <si>
    <t>Quelle: BFS (Strukturerhebung)</t>
  </si>
  <si>
    <t>Bern</t>
  </si>
  <si>
    <t>Freiburg</t>
  </si>
  <si>
    <t>Graubünden</t>
  </si>
  <si>
    <t>Wallis</t>
  </si>
  <si>
    <t>Tessin</t>
  </si>
  <si>
    <t>Waadt</t>
  </si>
  <si>
    <t>Neuenburg</t>
  </si>
  <si>
    <t>Genf</t>
  </si>
  <si>
    <t>Tabelle</t>
  </si>
  <si>
    <t>Code</t>
  </si>
  <si>
    <t>DE</t>
  </si>
  <si>
    <t>RM</t>
  </si>
  <si>
    <t>IT</t>
  </si>
  <si>
    <t>Sprache</t>
  </si>
  <si>
    <t>T1</t>
  </si>
  <si>
    <t>&lt;Fachbereich&gt;</t>
  </si>
  <si>
    <t>Daten &amp; Statistik</t>
  </si>
  <si>
    <t>Datas &amp; Statistica</t>
  </si>
  <si>
    <t>Dati &amp; Statistica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</si>
  <si>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</si>
  <si>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</si>
  <si>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</si>
  <si>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</si>
  <si>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</si>
  <si>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</si>
  <si>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</si>
  <si>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</si>
  <si>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</si>
  <si>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</si>
  <si>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</si>
  <si>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</si>
  <si>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</si>
  <si>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</si>
  <si>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</si>
  <si>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</si>
  <si>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&lt;Aktualisierung&gt;</t>
  </si>
  <si>
    <t>&lt;UTitel&gt;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</si>
  <si>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</si>
  <si>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</si>
  <si>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</si>
  <si>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</si>
  <si>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</si>
  <si>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</si>
  <si>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</si>
  <si>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</si>
  <si>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</si>
  <si>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</si>
  <si>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</si>
  <si>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</si>
  <si>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</si>
  <si>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</si>
  <si>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</si>
  <si>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</si>
  <si>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</si>
  <si>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</si>
  <si>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</si>
  <si>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&lt;Quelle_1&gt;</t>
  </si>
  <si>
    <t>T1-2</t>
  </si>
  <si>
    <t>T2</t>
  </si>
  <si>
    <t>&lt;T2Titel&gt;</t>
  </si>
  <si>
    <t>&lt;T2UTitel&gt;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</si>
  <si>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</si>
  <si>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</si>
  <si>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</si>
  <si>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</si>
  <si>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</si>
  <si>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&lt;T2Zeilentitel_6&gt;</t>
  </si>
  <si>
    <t>&lt;T2Zeilentitel_7&gt;</t>
  </si>
  <si>
    <t>&lt;SpaltenTitel_1.1&gt;</t>
  </si>
  <si>
    <t>&lt;SpaltenTitel_1.2&gt;</t>
  </si>
  <si>
    <t>&lt;T2Zeilentitel_2.1&gt;</t>
  </si>
  <si>
    <t>&lt;T2Zeilentitel_2.2&gt;</t>
  </si>
  <si>
    <t>&lt;T2Zeilentitel_3.1&gt;</t>
  </si>
  <si>
    <t>&lt;T2Zeilentitel_3.2&gt;</t>
  </si>
  <si>
    <t>&lt;T2Zeilentitel_4.1&gt;</t>
  </si>
  <si>
    <t>&lt;T2Zeilentitel_4.2&gt;</t>
  </si>
  <si>
    <t>&lt;T2Zeilentitel_5.1&gt;</t>
  </si>
  <si>
    <t>&lt;T2Zeilentitel_5.2&gt;</t>
  </si>
  <si>
    <t>&lt;T2Zeilentitel_7.1&gt;</t>
  </si>
  <si>
    <t>&lt;T2Zeilentitel_7.2&gt;</t>
  </si>
  <si>
    <t>&lt;T2Zeilentitel_7.3&gt;</t>
  </si>
  <si>
    <t>&lt;T2Zeilentitel_8&gt;</t>
  </si>
  <si>
    <t>&lt;T2Zeilentitel_3.3&gt;</t>
  </si>
  <si>
    <t>&lt;T2Zeilentitel_3.4&gt;</t>
  </si>
  <si>
    <t>&lt;T2Zeilentitel_7.4&gt;</t>
  </si>
  <si>
    <t>&lt;T2Zeilentitel_7.5&gt;</t>
  </si>
  <si>
    <t>&lt;T2Zeilentitel_7.6&gt;</t>
  </si>
  <si>
    <t>&lt;T2Zeilentitel_7.7&gt;</t>
  </si>
  <si>
    <t>&lt;T2Zeilentitel_7.8&gt;</t>
  </si>
  <si>
    <t>&lt;T2Zeilentitel_7.9&gt;</t>
  </si>
  <si>
    <t>&lt;T2Zeilentitel_7.10&gt;</t>
  </si>
  <si>
    <t>&lt;T2Zeilentitel_7.11&gt;</t>
  </si>
  <si>
    <t>&lt;T2Zeilentitel_8.1&gt;</t>
  </si>
  <si>
    <t>&lt;T2Zeilentitel_8.2&gt;</t>
  </si>
  <si>
    <t>&lt;T2Zeilentitel_8.3&gt;</t>
  </si>
  <si>
    <t>&lt;T2Aktualisierung&gt;</t>
  </si>
  <si>
    <t>Totale</t>
  </si>
  <si>
    <t>Numero di persone</t>
  </si>
  <si>
    <t>Fonte: UST - Rilevazione strutturale (RS)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</si>
  <si>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</si>
  <si>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</si>
  <si>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</si>
  <si>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</si>
  <si>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</si>
  <si>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</si>
  <si>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</si>
  <si>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</si>
  <si>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Friborgo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</si>
  <si>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</si>
  <si>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</si>
  <si>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</si>
  <si>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</si>
  <si>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</si>
  <si>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</si>
  <si>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</si>
  <si>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</si>
  <si>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</si>
  <si>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</si>
  <si>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Ticino</t>
  </si>
  <si>
    <t>Vaud</t>
  </si>
  <si>
    <t>Vallese</t>
  </si>
  <si>
    <t>Neuchâtel</t>
  </si>
  <si>
    <t>Ginevra</t>
  </si>
  <si>
    <t>Giura</t>
  </si>
  <si>
    <t>Sesso</t>
  </si>
  <si>
    <t>Età</t>
  </si>
  <si>
    <t>Uomini</t>
  </si>
  <si>
    <t>Donne</t>
  </si>
  <si>
    <t>Occupati</t>
  </si>
  <si>
    <t>Disoccupati</t>
  </si>
  <si>
    <t>Persone senza attività professionale</t>
  </si>
  <si>
    <t>Management superiore</t>
  </si>
  <si>
    <t>Professioni liberali ed equiparate</t>
  </si>
  <si>
    <t>Altri indipendenti</t>
  </si>
  <si>
    <t>Professioni accademiche e quadri superiori</t>
  </si>
  <si>
    <t>Professioni intermediarie</t>
  </si>
  <si>
    <t>Professioni qualificate non manuali</t>
  </si>
  <si>
    <t>Professioni qualificate manuali</t>
  </si>
  <si>
    <t>Impiegati e operai non qualificati</t>
  </si>
  <si>
    <t>Persone in formazione professionale di base duale (apprendisti)</t>
  </si>
  <si>
    <t>Occupati non attribuibili (dati di base mancanti)</t>
  </si>
  <si>
    <t>Disoccupati e persone senza attività professionale</t>
  </si>
  <si>
    <t>Senza formazione postobbligatoria</t>
  </si>
  <si>
    <t>Livello secondario II</t>
  </si>
  <si>
    <t>Livello terziario</t>
  </si>
  <si>
    <t>Sviz</t>
  </si>
  <si>
    <t>Soloturn</t>
  </si>
  <si>
    <t>Friburg</t>
  </si>
  <si>
    <t>Glaruna</t>
  </si>
  <si>
    <t>Schaffusa</t>
  </si>
  <si>
    <t>Sutsilvania</t>
  </si>
  <si>
    <t>Sursilvania</t>
  </si>
  <si>
    <t>Turitg</t>
  </si>
  <si>
    <t>Basilea-Citad</t>
  </si>
  <si>
    <t>Basilea-Champagna</t>
  </si>
  <si>
    <t>Appenzell Dadora</t>
  </si>
  <si>
    <t>Appenzell Dadens</t>
  </si>
  <si>
    <t>Son Gagl</t>
  </si>
  <si>
    <t>Genevra</t>
  </si>
  <si>
    <t>Vallais</t>
  </si>
  <si>
    <t>Vad</t>
  </si>
  <si>
    <t>Grischun</t>
  </si>
  <si>
    <t>Umens</t>
  </si>
  <si>
    <t>Dunnas</t>
  </si>
  <si>
    <t>Gender</t>
  </si>
  <si>
    <t>Vegliadetgna</t>
  </si>
  <si>
    <t>Status dal martgà da lavur</t>
  </si>
  <si>
    <t>Categorias socioprofessiunalas</t>
  </si>
  <si>
    <t>La pli auta scolaziun terminada</t>
  </si>
  <si>
    <t>Professiuns libras ed egualas</t>
  </si>
  <si>
    <t>Autras persunas independentas</t>
  </si>
  <si>
    <t>Professiuns academicas e cader superiur</t>
  </si>
  <si>
    <t>professiuns intermediaras</t>
  </si>
  <si>
    <t>Professiuns betg manualas qualifitgadas</t>
  </si>
  <si>
    <t>Professiuns manualas qualifitgadas</t>
  </si>
  <si>
    <t>Emploiads e lavurants betg emprendids</t>
  </si>
  <si>
    <t>Emprendistas ed emprendists en ina furmaziun fundamentala professiunala dubla (emprendists)</t>
  </si>
  <si>
    <t>Persunas cun activitad da gudogn che n'èn betg attribuiblas (datas da basa mancantas u betg cleras u ina cumbinaziun inclausibla)</t>
  </si>
  <si>
    <t>Persunas senza activitad da gudogn e persunas senza activitad da gudogn</t>
  </si>
  <si>
    <t>Stgalim secundar II</t>
  </si>
  <si>
    <t>Stgalim terziar</t>
  </si>
  <si>
    <t>Management suprem</t>
  </si>
  <si>
    <t>Persunas senza activitad da gudogn</t>
  </si>
  <si>
    <t>Persunas cun activitad da gudogn</t>
  </si>
  <si>
    <t>Dumber da persunas</t>
  </si>
  <si>
    <t>Funtauna: UST (enquista da structura)</t>
  </si>
  <si>
    <t>&lt;SpaltenTitel_4&gt;</t>
  </si>
  <si>
    <t>Staatsangehörigkeit</t>
  </si>
  <si>
    <t>Naziunalitad</t>
  </si>
  <si>
    <t>Cittadinanza</t>
  </si>
  <si>
    <t>Status sul mercato del lavoro</t>
  </si>
  <si>
    <t>Categorie socioprofessionali</t>
  </si>
  <si>
    <t>Istruzione di massimo livello</t>
  </si>
  <si>
    <t>15-24</t>
  </si>
  <si>
    <t>65 und älter</t>
  </si>
  <si>
    <t>65 e dapli</t>
  </si>
  <si>
    <t>65 e più</t>
  </si>
  <si>
    <t>Svizzera</t>
  </si>
  <si>
    <t>Svizra</t>
  </si>
  <si>
    <t>Schweiz</t>
  </si>
  <si>
    <t>&lt;T2Zeilentitel_5.3&gt;</t>
  </si>
  <si>
    <t>Ohne nachobligatorische Aubildung</t>
  </si>
  <si>
    <t>Senza furmaziun postobligatorica</t>
  </si>
  <si>
    <t>&lt;SpaltenTitel_5&gt;</t>
  </si>
  <si>
    <t>&lt;SpaltenTitel_6&gt;</t>
  </si>
  <si>
    <t>&lt;SpaltenTitel_7&gt;</t>
  </si>
  <si>
    <t>&lt;SpaltenTitel_8&gt;</t>
  </si>
  <si>
    <t>Ständige Wohnbevölkerung nach Hauptsprachen und Kanton</t>
  </si>
  <si>
    <t>Ständige Wohnbevölkerung ab 15 Jahren</t>
  </si>
  <si>
    <t>Populaziun residenta permanenta a partir da 15 onns</t>
  </si>
  <si>
    <t>Popolazione residente permanente di 15 anni e più</t>
  </si>
  <si>
    <t>Deutsch (oder Schweizerdeutsch)</t>
  </si>
  <si>
    <t>Französisch (oder Patois Romand)</t>
  </si>
  <si>
    <t>Italienisch (oder Tessiner/Bündner-italienischer Dialekt)</t>
  </si>
  <si>
    <t>Rätoromanisch</t>
  </si>
  <si>
    <t>Englisch</t>
  </si>
  <si>
    <t>Andere Sprache/n</t>
  </si>
  <si>
    <t>Tedesco (o svizzero tedesco)</t>
  </si>
  <si>
    <t>Romanico</t>
  </si>
  <si>
    <t>Inglese</t>
  </si>
  <si>
    <t>Altra lingua</t>
  </si>
  <si>
    <t>Francese (o patois romando)</t>
  </si>
  <si>
    <t>Italiano (o dialetto ticinese/grigionese)</t>
  </si>
  <si>
    <t>Tudestg (u Tudestg svizzer)</t>
  </si>
  <si>
    <t>Franzos (u Patois Romand)</t>
  </si>
  <si>
    <t>Talian (u dialect tessinais/grischun)</t>
  </si>
  <si>
    <t>Autra lingua</t>
  </si>
  <si>
    <t>Englais</t>
  </si>
  <si>
    <t>Rumantsch</t>
  </si>
  <si>
    <t>Populaziun residenta permanenta tenor linguas principalas e tenor il chantun</t>
  </si>
  <si>
    <t>Popolazione residente permanente per lingua principale e cantone</t>
  </si>
  <si>
    <t>Vertrauens- intervall: 
± (in %)</t>
  </si>
  <si>
    <t>Interval da confidenza: 
± (en %)</t>
  </si>
  <si>
    <t>Intervallo di confidenza: 
± (in %)</t>
  </si>
  <si>
    <t>Ständige Wohnbevölkerung nach Hauptsprachen in Graubünden</t>
  </si>
  <si>
    <t>Populaziun residenta permanenta tenor linguas principalas en il Grischun</t>
  </si>
  <si>
    <t>Popolazione residente permanente per lingua principale nei Grigioni</t>
  </si>
  <si>
    <t>Migrationsstatus</t>
  </si>
  <si>
    <t>Status migratorio</t>
  </si>
  <si>
    <t>Status da migraziun</t>
  </si>
  <si>
    <t>45-64</t>
  </si>
  <si>
    <t>25-44</t>
  </si>
  <si>
    <t>&lt;T2Zeilentitel_4.3&gt;</t>
  </si>
  <si>
    <t>&lt;T2Zeilentitel_4.4&gt;</t>
  </si>
  <si>
    <t>EU und EFTA</t>
  </si>
  <si>
    <t>Anderer europäischer Staat</t>
  </si>
  <si>
    <t>Andere Staaten</t>
  </si>
  <si>
    <t>Staatsangehörigkeit unbekannt</t>
  </si>
  <si>
    <t>&lt;T2Zeilentitel_4.5&gt;</t>
  </si>
  <si>
    <t>UE ed AECL</t>
  </si>
  <si>
    <t>In auter pajais europeic</t>
  </si>
  <si>
    <t>Auters stadis</t>
  </si>
  <si>
    <t>Naziunalitad n'è betg enconuschenta</t>
  </si>
  <si>
    <t>UE e EFTA</t>
  </si>
  <si>
    <t>Altro paese europeo</t>
  </si>
  <si>
    <t>Altri paesi</t>
  </si>
  <si>
    <t>Nazionalità sconosciuta</t>
  </si>
  <si>
    <t>&lt;Legende_5&gt;</t>
  </si>
  <si>
    <t>Die Befragten konnten mehrere Hauptsprachen nennen.</t>
  </si>
  <si>
    <t>Gli intervistati potevano indicare più lingue principali.</t>
  </si>
  <si>
    <t>Las persunas interrogadas han pudì inditgar pliras linguas principalas.</t>
  </si>
  <si>
    <t>&lt;T2Zeilentitel_6.3&gt;</t>
  </si>
  <si>
    <t>&lt;T2Zeilentitel_6.2&gt;</t>
  </si>
  <si>
    <t>&lt;T2Zeilentitel_6.1&gt;</t>
  </si>
  <si>
    <t>&lt;T2Zeilentitel_5.4&gt;</t>
  </si>
  <si>
    <t>&lt;T2Zeilentitel_5.5&gt;</t>
  </si>
  <si>
    <t>Schweizer/innen ohne Migrationshintergrund</t>
  </si>
  <si>
    <t>Schweizer/innen mit Migrationshintergrund</t>
  </si>
  <si>
    <t>Ausländer/innen der ersten Generation</t>
  </si>
  <si>
    <t>Ausländer/innen der zweiten und höheren Generation</t>
  </si>
  <si>
    <t>Migrationshintergrund unbekannt</t>
  </si>
  <si>
    <t>Letztmals aktualisiert am: 18.03.2024</t>
  </si>
  <si>
    <t>Ultima actualisaziun: 18.03.2024</t>
  </si>
  <si>
    <t>Ulimo aggiornamento: 18.03.2024</t>
  </si>
  <si>
    <t>Svizzers senza retroterra da migraziun</t>
  </si>
  <si>
    <t>Svizzeri/e senza un passato migratorio</t>
  </si>
  <si>
    <t>Svizzers cun ina migraziun</t>
  </si>
  <si>
    <t>Svizzeri/e con un passato migratorio</t>
  </si>
  <si>
    <t>Persunas estras da l'emprima generaziun</t>
  </si>
  <si>
    <t>Stranieri/e di prima generazione</t>
  </si>
  <si>
    <t>Persunas estras da la segunda generaziun e da l'emprima</t>
  </si>
  <si>
    <t>Stranieri/e di seconda generazione e più</t>
  </si>
  <si>
    <t>La migraziun n'è betg enconuschenta</t>
  </si>
  <si>
    <t>Passato migratorio sconosciuto</t>
  </si>
  <si>
    <t>(): Extrapolaziun sin basa da 49 u damain observaziuns. Ils resultats ston vegnir interpretads cun gronda precauziun.</t>
  </si>
  <si>
    <t>(): Estrapolazione basata su 49 osservazioni o meno. I risultati devono essere interpretati con molta cautela.</t>
  </si>
  <si>
    <t>X: Extrapolaziun pervia da 4 u damain observaziuns. Per motivs da la protecziun da datas na vegnan ils resultats betg publitgads.</t>
  </si>
  <si>
    <t>X: Estrapolazione basata su 4 o meno osservazioni. I risultati non sono pubblicati per motivi di protezione dei dati.</t>
  </si>
  <si>
    <t>La survista da basa da l'enquista da structura cumpiglia tut las persunas da la populaziun residenta permanenta a partir da 15 onns che vivan en chasadas privatas.</t>
  </si>
  <si>
    <t>La popolazione dell'indagine sulla struttura comprende tutte le persone della popolazione residente permanente di età pari o superiore ai 15 anni che vivono in famiglie.</t>
  </si>
  <si>
    <t>Exclus da la totalitad fundamentala èn vegnids ultra da las persunas che vivan en chasadas collectivas er diplomats, funcziunaris internaziunals e lur confamigliars.</t>
  </si>
  <si>
    <t>Oltre alle persone che vivono in economie domestiche collettive, sono stati esclusi i diplomatici, i funzionari internazionali e i loro familiari.</t>
  </si>
  <si>
    <t>X</t>
  </si>
  <si>
    <t>Letztmals aktualisiert am: 17.02.2025</t>
  </si>
  <si>
    <t>Ultima actualisaziun: 17.02.2025</t>
  </si>
  <si>
    <t>Ulimo aggiornamento: 17.02.2025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</si>
</sst>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0.0"/>
    <numFmt numFmtId="168" formatCode="\(0.0\)"/>
    <numFmt numFmtId="169" formatCode="#\'##0"/>
    <numFmt numFmtId="170" formatCode="* #,###"/>
    <numFmt numFmtId="171" formatCode="\(##0\)"/>
    <numFmt numFmtId="172" formatCode="\(#\'##0\)"/>
  </numFmts>
  <fonts count="1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0"/>
      <color indexed="8"/>
      <name val="Arial Narrow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8"/>
      <color rgb="FF000000"/>
      <name val="Segoe UI"/>
      <family val="2"/>
    </font>
    <font>
      <sz val="10"/>
      <color rgb="FF4C4C4C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3" fillId="0" borderId="0"/>
  </cellStyleXfs>
  <cellXfs count="126">
    <xf numFmtId="0" fontId="0" fillId="0" borderId="0" xfId="0"/>
    <xf numFmtId="0" fontId="3" fillId="4" borderId="0" xfId="0" applyFont="1" applyFill="1"/>
    <xf numFmtId="0" fontId="8" fillId="4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165" fontId="10" fillId="3" borderId="0" xfId="1" applyNumberFormat="1" applyFont="1" applyFill="1" applyBorder="1" applyAlignment="1" applyProtection="1">
      <alignment horizontal="left" vertical="top"/>
    </xf>
    <xf numFmtId="0" fontId="2" fillId="0" borderId="0" xfId="0" applyFont="1"/>
    <xf numFmtId="0" fontId="12" fillId="3" borderId="0" xfId="0" applyFont="1" applyFill="1" applyAlignment="1">
      <alignment horizontal="left" vertical="center"/>
    </xf>
    <xf numFmtId="0" fontId="2" fillId="2" borderId="0" xfId="0" applyFont="1" applyFill="1"/>
    <xf numFmtId="3" fontId="2" fillId="0" borderId="0" xfId="0" applyNumberFormat="1" applyFont="1"/>
    <xf numFmtId="169" fontId="2" fillId="0" borderId="0" xfId="0" applyNumberFormat="1" applyFont="1"/>
    <xf numFmtId="3" fontId="3" fillId="5" borderId="4" xfId="3" applyNumberFormat="1" applyFont="1" applyFill="1" applyBorder="1" applyAlignment="1" applyProtection="1">
      <alignment horizontal="right" vertical="center" wrapText="1"/>
    </xf>
    <xf numFmtId="0" fontId="0" fillId="4" borderId="0" xfId="0" applyFill="1"/>
    <xf numFmtId="0" fontId="15" fillId="4" borderId="0" xfId="0" applyFont="1" applyFill="1"/>
    <xf numFmtId="0" fontId="12" fillId="3" borderId="3" xfId="0" applyFont="1" applyFill="1" applyBorder="1" applyAlignment="1">
      <alignment horizontal="left" vertical="center"/>
    </xf>
    <xf numFmtId="0" fontId="14" fillId="6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 applyProtection="1">
      <alignment horizontal="left" vertical="top" wrapText="1"/>
      <protection locked="0"/>
    </xf>
    <xf numFmtId="0" fontId="2" fillId="8" borderId="0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wrapText="1"/>
    </xf>
    <xf numFmtId="0" fontId="2" fillId="0" borderId="0" xfId="0" applyFont="1" applyBorder="1"/>
    <xf numFmtId="169" fontId="3" fillId="4" borderId="0" xfId="1" applyNumberFormat="1" applyFont="1" applyFill="1" applyBorder="1" applyAlignment="1" applyProtection="1">
      <alignment horizontal="right" vertical="center" wrapText="1"/>
    </xf>
    <xf numFmtId="167" fontId="3" fillId="4" borderId="0" xfId="1" applyNumberFormat="1" applyFont="1" applyFill="1" applyBorder="1" applyAlignment="1" applyProtection="1">
      <alignment horizontal="right" vertical="center" wrapText="1"/>
    </xf>
    <xf numFmtId="1" fontId="3" fillId="4" borderId="0" xfId="1" applyNumberFormat="1" applyFont="1" applyFill="1" applyBorder="1" applyAlignment="1" applyProtection="1">
      <alignment horizontal="right" vertical="center" wrapText="1"/>
    </xf>
    <xf numFmtId="0" fontId="13" fillId="3" borderId="19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2" fillId="0" borderId="20" xfId="0" applyFont="1" applyBorder="1"/>
    <xf numFmtId="0" fontId="13" fillId="3" borderId="9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top"/>
    </xf>
    <xf numFmtId="0" fontId="2" fillId="0" borderId="9" xfId="0" applyFont="1" applyBorder="1"/>
    <xf numFmtId="0" fontId="2" fillId="0" borderId="10" xfId="0" applyFont="1" applyBorder="1"/>
    <xf numFmtId="0" fontId="8" fillId="4" borderId="0" xfId="0" applyFont="1" applyFill="1" applyAlignment="1">
      <alignment horizontal="left" vertical="top" wrapText="1"/>
    </xf>
    <xf numFmtId="0" fontId="12" fillId="3" borderId="0" xfId="0" applyNumberFormat="1" applyFont="1" applyFill="1" applyBorder="1" applyAlignment="1" applyProtection="1">
      <alignment horizontal="left" vertical="center"/>
    </xf>
    <xf numFmtId="0" fontId="8" fillId="4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center" wrapText="1"/>
    </xf>
    <xf numFmtId="0" fontId="12" fillId="3" borderId="21" xfId="0" applyFont="1" applyFill="1" applyBorder="1" applyAlignment="1">
      <alignment horizontal="left" vertical="center" wrapText="1"/>
    </xf>
    <xf numFmtId="3" fontId="3" fillId="5" borderId="21" xfId="3" applyNumberFormat="1" applyFont="1" applyFill="1" applyBorder="1" applyAlignment="1" applyProtection="1">
      <alignment horizontal="left" vertical="center" wrapText="1"/>
    </xf>
    <xf numFmtId="0" fontId="12" fillId="3" borderId="32" xfId="0" applyFont="1" applyFill="1" applyBorder="1" applyAlignment="1">
      <alignment horizontal="left" vertical="center" wrapText="1"/>
    </xf>
    <xf numFmtId="0" fontId="12" fillId="4" borderId="21" xfId="1" applyNumberFormat="1" applyFont="1" applyFill="1" applyBorder="1" applyAlignment="1" applyProtection="1">
      <alignment horizontal="right" vertical="top" wrapText="1"/>
    </xf>
    <xf numFmtId="0" fontId="12" fillId="4" borderId="35" xfId="1" applyNumberFormat="1" applyFont="1" applyFill="1" applyBorder="1" applyAlignment="1" applyProtection="1">
      <alignment horizontal="right" vertical="top" wrapText="1"/>
    </xf>
    <xf numFmtId="0" fontId="12" fillId="4" borderId="36" xfId="1" applyNumberFormat="1" applyFont="1" applyFill="1" applyBorder="1" applyAlignment="1" applyProtection="1">
      <alignment horizontal="right" vertical="top" wrapText="1"/>
    </xf>
    <xf numFmtId="0" fontId="12" fillId="4" borderId="37" xfId="1" applyNumberFormat="1" applyFont="1" applyFill="1" applyBorder="1" applyAlignment="1" applyProtection="1">
      <alignment horizontal="right" vertical="top" wrapText="1"/>
    </xf>
    <xf numFmtId="0" fontId="12" fillId="4" borderId="0" xfId="1" applyNumberFormat="1" applyFont="1" applyFill="1" applyBorder="1" applyAlignment="1" applyProtection="1">
      <alignment horizontal="right" vertical="top" wrapText="1"/>
    </xf>
    <xf numFmtId="0" fontId="12" fillId="4" borderId="38" xfId="1" applyNumberFormat="1" applyFont="1" applyFill="1" applyBorder="1" applyAlignment="1" applyProtection="1">
      <alignment horizontal="right" vertical="top" wrapText="1"/>
    </xf>
    <xf numFmtId="167" fontId="3" fillId="5" borderId="27" xfId="3" applyNumberFormat="1" applyFont="1" applyFill="1" applyBorder="1" applyAlignment="1" applyProtection="1">
      <alignment horizontal="right" vertical="center" wrapText="1"/>
    </xf>
    <xf numFmtId="0" fontId="12" fillId="3" borderId="43" xfId="0" applyFont="1" applyFill="1" applyBorder="1" applyAlignment="1">
      <alignment horizontal="left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30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4" borderId="40" xfId="1" applyNumberFormat="1" applyFont="1" applyFill="1" applyBorder="1" applyAlignment="1" applyProtection="1">
      <alignment horizontal="right" vertical="top" wrapText="1"/>
    </xf>
    <xf numFmtId="0" fontId="12" fillId="4" borderId="33" xfId="1" applyNumberFormat="1" applyFont="1" applyFill="1" applyBorder="1" applyAlignment="1" applyProtection="1">
      <alignment horizontal="right" vertical="top" wrapText="1"/>
    </xf>
    <xf numFmtId="0" fontId="12" fillId="4" borderId="34" xfId="1" applyNumberFormat="1" applyFont="1" applyFill="1" applyBorder="1" applyAlignment="1" applyProtection="1">
      <alignment horizontal="right" vertical="top" wrapText="1"/>
    </xf>
    <xf numFmtId="0" fontId="12" fillId="4" borderId="41" xfId="1" applyNumberFormat="1" applyFont="1" applyFill="1" applyBorder="1" applyAlignment="1" applyProtection="1">
      <alignment horizontal="right" vertical="top" wrapText="1"/>
    </xf>
    <xf numFmtId="0" fontId="12" fillId="4" borderId="39" xfId="1" applyNumberFormat="1" applyFont="1" applyFill="1" applyBorder="1" applyAlignment="1" applyProtection="1">
      <alignment horizontal="right" vertical="top" wrapText="1"/>
    </xf>
    <xf numFmtId="0" fontId="12" fillId="4" borderId="17" xfId="1" applyNumberFormat="1" applyFont="1" applyFill="1" applyBorder="1" applyAlignment="1" applyProtection="1">
      <alignment horizontal="right" vertical="top" wrapText="1"/>
    </xf>
    <xf numFmtId="0" fontId="12" fillId="4" borderId="44" xfId="1" applyNumberFormat="1" applyFont="1" applyFill="1" applyBorder="1" applyAlignment="1" applyProtection="1">
      <alignment horizontal="right" vertical="top" wrapText="1"/>
    </xf>
    <xf numFmtId="170" fontId="11" fillId="0" borderId="33" xfId="3" applyNumberFormat="1" applyFont="1" applyFill="1" applyBorder="1" applyAlignment="1" applyProtection="1">
      <alignment horizontal="right" vertical="center" wrapText="1"/>
    </xf>
    <xf numFmtId="3" fontId="3" fillId="0" borderId="6" xfId="3" applyNumberFormat="1" applyFont="1" applyFill="1" applyBorder="1" applyAlignment="1" applyProtection="1">
      <alignment horizontal="right" vertical="center" wrapText="1"/>
    </xf>
    <xf numFmtId="3" fontId="3" fillId="0" borderId="7" xfId="3" applyNumberFormat="1" applyFont="1" applyFill="1" applyBorder="1" applyAlignment="1" applyProtection="1">
      <alignment horizontal="right" vertical="center" wrapText="1"/>
    </xf>
    <xf numFmtId="167" fontId="11" fillId="0" borderId="17" xfId="3" applyNumberFormat="1" applyFont="1" applyFill="1" applyBorder="1" applyAlignment="1" applyProtection="1">
      <alignment horizontal="right" vertical="center" wrapText="1"/>
    </xf>
    <xf numFmtId="167" fontId="3" fillId="0" borderId="27" xfId="3" applyNumberFormat="1" applyFont="1" applyFill="1" applyBorder="1" applyAlignment="1" applyProtection="1">
      <alignment horizontal="right" vertical="center" wrapText="1"/>
    </xf>
    <xf numFmtId="167" fontId="3" fillId="0" borderId="42" xfId="3" applyNumberFormat="1" applyFont="1" applyFill="1" applyBorder="1" applyAlignment="1" applyProtection="1">
      <alignment horizontal="right" vertical="center" wrapText="1"/>
    </xf>
    <xf numFmtId="167" fontId="11" fillId="0" borderId="40" xfId="3" applyNumberFormat="1" applyFont="1" applyFill="1" applyBorder="1" applyAlignment="1" applyProtection="1">
      <alignment horizontal="right" vertical="center" wrapText="1"/>
    </xf>
    <xf numFmtId="170" fontId="11" fillId="0" borderId="41" xfId="3" applyNumberFormat="1" applyFont="1" applyFill="1" applyBorder="1" applyAlignment="1" applyProtection="1">
      <alignment horizontal="right" vertical="center" wrapText="1"/>
    </xf>
    <xf numFmtId="167" fontId="3" fillId="0" borderId="45" xfId="3" applyNumberFormat="1" applyFont="1" applyFill="1" applyBorder="1" applyAlignment="1" applyProtection="1">
      <alignment horizontal="right" vertical="center" wrapText="1"/>
    </xf>
    <xf numFmtId="3" fontId="3" fillId="0" borderId="4" xfId="3" applyNumberFormat="1" applyFont="1" applyFill="1" applyBorder="1" applyAlignment="1" applyProtection="1">
      <alignment horizontal="right" vertical="center" wrapText="1"/>
    </xf>
    <xf numFmtId="167" fontId="3" fillId="0" borderId="46" xfId="3" applyNumberFormat="1" applyFont="1" applyFill="1" applyBorder="1" applyAlignment="1" applyProtection="1">
      <alignment horizontal="right" vertical="center" wrapText="1"/>
    </xf>
    <xf numFmtId="3" fontId="3" fillId="0" borderId="8" xfId="3" applyNumberFormat="1" applyFont="1" applyFill="1" applyBorder="1" applyAlignment="1" applyProtection="1">
      <alignment horizontal="right" vertical="center" wrapText="1"/>
    </xf>
    <xf numFmtId="171" fontId="3" fillId="0" borderId="6" xfId="3" applyNumberFormat="1" applyFont="1" applyFill="1" applyBorder="1" applyAlignment="1" applyProtection="1">
      <alignment horizontal="right" vertical="center" wrapText="1"/>
    </xf>
    <xf numFmtId="172" fontId="3" fillId="0" borderId="6" xfId="3" applyNumberFormat="1" applyFont="1" applyFill="1" applyBorder="1" applyAlignment="1" applyProtection="1">
      <alignment horizontal="right" vertical="center" wrapText="1"/>
    </xf>
    <xf numFmtId="168" fontId="3" fillId="0" borderId="27" xfId="3" applyNumberFormat="1" applyFont="1" applyFill="1" applyBorder="1" applyAlignment="1" applyProtection="1">
      <alignment horizontal="right" vertical="center" wrapText="1"/>
    </xf>
    <xf numFmtId="168" fontId="3" fillId="0" borderId="45" xfId="3" applyNumberFormat="1" applyFont="1" applyFill="1" applyBorder="1" applyAlignment="1" applyProtection="1">
      <alignment horizontal="right" vertical="center" wrapText="1"/>
    </xf>
    <xf numFmtId="171" fontId="3" fillId="0" borderId="4" xfId="3" applyNumberFormat="1" applyFont="1" applyFill="1" applyBorder="1" applyAlignment="1" applyProtection="1">
      <alignment horizontal="right" vertical="center" wrapText="1"/>
    </xf>
    <xf numFmtId="172" fontId="3" fillId="0" borderId="4" xfId="3" applyNumberFormat="1" applyFont="1" applyFill="1" applyBorder="1" applyAlignment="1" applyProtection="1">
      <alignment horizontal="right" vertical="center" wrapText="1"/>
    </xf>
    <xf numFmtId="167" fontId="11" fillId="0" borderId="47" xfId="3" applyNumberFormat="1" applyFont="1" applyFill="1" applyBorder="1" applyAlignment="1" applyProtection="1">
      <alignment horizontal="right" vertical="center" wrapText="1"/>
    </xf>
    <xf numFmtId="167" fontId="3" fillId="0" borderId="48" xfId="3" applyNumberFormat="1" applyFont="1" applyFill="1" applyBorder="1" applyAlignment="1" applyProtection="1">
      <alignment horizontal="right" vertical="center" wrapText="1"/>
    </xf>
    <xf numFmtId="168" fontId="3" fillId="0" borderId="48" xfId="3" applyNumberFormat="1" applyFont="1" applyFill="1" applyBorder="1" applyAlignment="1" applyProtection="1">
      <alignment horizontal="right" vertical="center" wrapText="1"/>
    </xf>
    <xf numFmtId="167" fontId="3" fillId="0" borderId="49" xfId="3" applyNumberFormat="1" applyFont="1" applyFill="1" applyBorder="1" applyAlignment="1" applyProtection="1">
      <alignment horizontal="right" vertical="center" wrapText="1"/>
    </xf>
    <xf numFmtId="3" fontId="3" fillId="5" borderId="6" xfId="3" applyNumberFormat="1" applyFont="1" applyFill="1" applyBorder="1" applyAlignment="1" applyProtection="1">
      <alignment horizontal="right" vertical="center" wrapText="1"/>
    </xf>
    <xf numFmtId="167" fontId="3" fillId="5" borderId="45" xfId="3" applyNumberFormat="1" applyFont="1" applyFill="1" applyBorder="1" applyAlignment="1" applyProtection="1">
      <alignment horizontal="right" vertical="center" wrapText="1"/>
    </xf>
    <xf numFmtId="167" fontId="3" fillId="5" borderId="48" xfId="3" applyNumberFormat="1" applyFont="1" applyFill="1" applyBorder="1" applyAlignment="1" applyProtection="1">
      <alignment horizontal="right" vertical="center" wrapText="1"/>
    </xf>
    <xf numFmtId="171" fontId="3" fillId="0" borderId="7" xfId="3" applyNumberFormat="1" applyFont="1" applyFill="1" applyBorder="1" applyAlignment="1" applyProtection="1">
      <alignment horizontal="right" vertical="center" wrapText="1"/>
    </xf>
    <xf numFmtId="168" fontId="3" fillId="0" borderId="46" xfId="3" applyNumberFormat="1" applyFont="1" applyFill="1" applyBorder="1" applyAlignment="1" applyProtection="1">
      <alignment horizontal="right" vertical="center" wrapText="1"/>
    </xf>
    <xf numFmtId="3" fontId="3" fillId="0" borderId="33" xfId="3" applyNumberFormat="1" applyFont="1" applyFill="1" applyBorder="1" applyAlignment="1" applyProtection="1">
      <alignment horizontal="right" vertical="center" wrapText="1"/>
    </xf>
    <xf numFmtId="167" fontId="3" fillId="0" borderId="40" xfId="3" applyNumberFormat="1" applyFont="1" applyFill="1" applyBorder="1" applyAlignment="1" applyProtection="1">
      <alignment horizontal="right" vertical="center" wrapText="1"/>
    </xf>
    <xf numFmtId="3" fontId="3" fillId="0" borderId="41" xfId="3" applyNumberFormat="1" applyFont="1" applyFill="1" applyBorder="1" applyAlignment="1" applyProtection="1">
      <alignment horizontal="right" vertical="center" wrapText="1"/>
    </xf>
    <xf numFmtId="167" fontId="3" fillId="0" borderId="17" xfId="3" applyNumberFormat="1" applyFont="1" applyFill="1" applyBorder="1" applyAlignment="1" applyProtection="1">
      <alignment horizontal="right" vertical="center" wrapText="1"/>
    </xf>
    <xf numFmtId="171" fontId="3" fillId="0" borderId="33" xfId="3" applyNumberFormat="1" applyFont="1" applyFill="1" applyBorder="1" applyAlignment="1" applyProtection="1">
      <alignment horizontal="right" vertical="center" wrapText="1"/>
    </xf>
    <xf numFmtId="168" fontId="3" fillId="0" borderId="40" xfId="3" applyNumberFormat="1" applyFont="1" applyFill="1" applyBorder="1" applyAlignment="1" applyProtection="1">
      <alignment horizontal="right" vertical="center" wrapText="1"/>
    </xf>
    <xf numFmtId="167" fontId="3" fillId="0" borderId="47" xfId="3" applyNumberFormat="1" applyFont="1" applyFill="1" applyBorder="1" applyAlignment="1" applyProtection="1">
      <alignment horizontal="right" vertical="center" wrapText="1"/>
    </xf>
    <xf numFmtId="3" fontId="3" fillId="0" borderId="30" xfId="3" applyNumberFormat="1" applyFont="1" applyFill="1" applyBorder="1" applyAlignment="1" applyProtection="1">
      <alignment horizontal="right" vertical="center" wrapText="1"/>
    </xf>
    <xf numFmtId="167" fontId="3" fillId="0" borderId="50" xfId="3" applyNumberFormat="1" applyFont="1" applyFill="1" applyBorder="1" applyAlignment="1" applyProtection="1">
      <alignment horizontal="right" vertical="center" wrapText="1"/>
    </xf>
    <xf numFmtId="3" fontId="3" fillId="0" borderId="31" xfId="3" applyNumberFormat="1" applyFont="1" applyFill="1" applyBorder="1" applyAlignment="1" applyProtection="1">
      <alignment horizontal="right" vertical="center" wrapText="1"/>
    </xf>
    <xf numFmtId="167" fontId="3" fillId="0" borderId="2" xfId="3" applyNumberFormat="1" applyFont="1" applyFill="1" applyBorder="1" applyAlignment="1" applyProtection="1">
      <alignment horizontal="right" vertical="center" wrapText="1"/>
    </xf>
    <xf numFmtId="172" fontId="3" fillId="0" borderId="30" xfId="3" applyNumberFormat="1" applyFont="1" applyFill="1" applyBorder="1" applyAlignment="1" applyProtection="1">
      <alignment horizontal="right" vertical="center" wrapText="1"/>
    </xf>
    <xf numFmtId="168" fontId="3" fillId="0" borderId="50" xfId="3" applyNumberFormat="1" applyFont="1" applyFill="1" applyBorder="1" applyAlignment="1" applyProtection="1">
      <alignment horizontal="right" vertical="center" wrapText="1"/>
    </xf>
    <xf numFmtId="167" fontId="3" fillId="0" borderId="51" xfId="3" applyNumberFormat="1" applyFont="1" applyFill="1" applyBorder="1" applyAlignment="1" applyProtection="1">
      <alignment horizontal="right" vertical="center" wrapText="1"/>
    </xf>
    <xf numFmtId="172" fontId="3" fillId="0" borderId="41" xfId="3" applyNumberFormat="1" applyFont="1" applyFill="1" applyBorder="1" applyAlignment="1" applyProtection="1">
      <alignment horizontal="right" vertical="center" wrapText="1"/>
    </xf>
    <xf numFmtId="168" fontId="3" fillId="0" borderId="17" xfId="3" applyNumberFormat="1" applyFont="1" applyFill="1" applyBorder="1" applyAlignment="1" applyProtection="1">
      <alignment horizontal="right" vertical="center" wrapText="1"/>
    </xf>
    <xf numFmtId="0" fontId="13" fillId="3" borderId="5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top" wrapText="1"/>
    </xf>
    <xf numFmtId="0" fontId="9" fillId="5" borderId="24" xfId="0" applyFont="1" applyFill="1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17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</cellXfs>
  <cellStyles count="11">
    <cellStyle name="Komma" xfId="1" builtinId="3"/>
    <cellStyle name="Komma 2" xfId="2"/>
    <cellStyle name="Komma 3" xfId="3"/>
    <cellStyle name="Normale 2" xfId="10"/>
    <cellStyle name="Standard" xfId="0" builtinId="0"/>
    <cellStyle name="Standard 2" xfId="4"/>
    <cellStyle name="Standard 2 2" xfId="7"/>
    <cellStyle name="Standard 3" xfId="5"/>
    <cellStyle name="Standard 4" xfId="6"/>
    <cellStyle name="Standard 4 2" xfId="8"/>
    <cellStyle name="Standard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444500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5</xdr:col>
      <xdr:colOff>476250</xdr:colOff>
      <xdr:row>0</xdr:row>
      <xdr:rowOff>19050</xdr:rowOff>
    </xdr:from>
    <xdr:to>
      <xdr:col>8</xdr:col>
      <xdr:colOff>648314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168275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0</xdr:row>
      <xdr:rowOff>19050</xdr:rowOff>
    </xdr:from>
    <xdr:to>
      <xdr:col>5</xdr:col>
      <xdr:colOff>638789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000625" y="19050"/>
          <a:ext cx="2610464" cy="888473"/>
          <a:chOff x="51054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1054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762625" y="304800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762625" y="495300"/>
                <a:ext cx="14097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762625" y="657225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3"/>
  <sheetViews>
    <sheetView showGridLines="0" tabSelected="1" zoomScaleNormal="100" workbookViewId="0"/>
  </sheetViews>
  <sheetFormatPr baseColWidth="10" defaultRowHeight="12.75" x14ac:dyDescent="0.2"/>
  <cols>
    <col min="1" max="1" width="18.375" style="6" customWidth="1"/>
    <col min="2" max="15" width="10.25" style="6" customWidth="1"/>
    <col min="16" max="16384" width="11" style="6"/>
  </cols>
  <sheetData>
    <row r="1" spans="1:20" s="1" customFormat="1" x14ac:dyDescent="0.2"/>
    <row r="2" spans="1:20" s="1" customFormat="1" ht="15.75" x14ac:dyDescent="0.25">
      <c r="B2" s="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20" s="1" customFormat="1" ht="15.75" x14ac:dyDescent="0.25">
      <c r="B3" s="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20" s="1" customFormat="1" ht="15.75" x14ac:dyDescent="0.25">
      <c r="B4" s="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20" s="1" customFormat="1" x14ac:dyDescent="0.2"/>
    <row r="6" spans="1:20" s="1" customFormat="1" x14ac:dyDescent="0.2"/>
    <row r="7" spans="1:20" s="1" customFormat="1" ht="15.75" customHeight="1" x14ac:dyDescent="0.2">
      <c r="A7" s="112" t="str">
        <f>VLOOKUP("&lt;Fachbereich&gt;",Uebersetzungen!$B$3:$E$32,Uebersetzungen!$B$2+1,FALSE)</f>
        <v>Daten &amp; Statistik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3"/>
      <c r="N7" s="13"/>
      <c r="O7" s="13"/>
      <c r="P7" s="13"/>
      <c r="Q7" s="13"/>
    </row>
    <row r="8" spans="1:20" s="1" customFormat="1" x14ac:dyDescent="0.2"/>
    <row r="9" spans="1:20" ht="18" x14ac:dyDescent="0.2">
      <c r="A9" s="3" t="str">
        <f>VLOOKUP("&lt;Titel&gt;",Uebersetzungen!$B$3:$E$32,Uebersetzungen!$B$2+1,FALSE)</f>
        <v>Ständige Wohnbevölkerung nach Hauptsprachen und Kanton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20" x14ac:dyDescent="0.2">
      <c r="A10" s="7" t="str">
        <f>VLOOKUP("&lt;UTitel&gt;",Uebersetzungen!$B$3:$E$32,Uebersetzungen!$B$2+1,FALSE)</f>
        <v>Ständige Wohnbevölkerung ab 15 Jahren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R10" s="26"/>
      <c r="S10" s="26"/>
      <c r="T10" s="26"/>
    </row>
    <row r="11" spans="1:20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R11" s="26"/>
      <c r="S11" s="26"/>
      <c r="T11" s="26"/>
    </row>
    <row r="12" spans="1:20" ht="18.75" thickBot="1" x14ac:dyDescent="0.3">
      <c r="A12" s="8"/>
      <c r="B12" s="113">
        <v>2023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5"/>
      <c r="R12" s="26"/>
      <c r="S12" s="26"/>
      <c r="T12" s="26"/>
    </row>
    <row r="13" spans="1:20" ht="37.5" customHeight="1" thickBot="1" x14ac:dyDescent="0.25">
      <c r="A13" s="107"/>
      <c r="B13" s="109" t="str">
        <f>VLOOKUP("&lt;SpaltenTitel_1&gt;",Uebersetzungen!$B$3:$E$338,Uebersetzungen!$B$2+1,FALSE)</f>
        <v>Total</v>
      </c>
      <c r="C13" s="110"/>
      <c r="D13" s="116" t="str">
        <f>VLOOKUP("&lt;SpaltenTitel_2&gt;",Uebersetzungen!$B$3:$E$338,Uebersetzungen!$B$2+1,FALSE)</f>
        <v>Deutsch (oder Schweizerdeutsch)</v>
      </c>
      <c r="E13" s="117"/>
      <c r="F13" s="116" t="str">
        <f>VLOOKUP("&lt;SpaltenTitel_3&gt;",Uebersetzungen!$B$3:$E$338,Uebersetzungen!$B$2+1,FALSE)</f>
        <v>Französisch (oder Patois Romand)</v>
      </c>
      <c r="G13" s="117"/>
      <c r="H13" s="116" t="str">
        <f>VLOOKUP("&lt;SpaltenTitel_4&gt;",Uebersetzungen!$B$3:$E$338,Uebersetzungen!$B$2+1,FALSE)</f>
        <v>Italienisch (oder Tessiner/Bündner-italienischer Dialekt)</v>
      </c>
      <c r="I13" s="117"/>
      <c r="J13" s="116" t="str">
        <f>VLOOKUP("&lt;SpaltenTitel_5&gt;",Uebersetzungen!$B$3:$E$338,Uebersetzungen!$B$2+1,FALSE)</f>
        <v>Rätoromanisch</v>
      </c>
      <c r="K13" s="117"/>
      <c r="L13" s="110" t="str">
        <f>VLOOKUP("&lt;SpaltenTitel_6&gt;",Uebersetzungen!$B$3:$E$338,Uebersetzungen!$B$2+1,FALSE)</f>
        <v>Englisch</v>
      </c>
      <c r="M13" s="110"/>
      <c r="N13" s="110" t="str">
        <f>VLOOKUP("&lt;SpaltenTitel_7&gt;",Uebersetzungen!$B$3:$E$338,Uebersetzungen!$B$2+1,FALSE)</f>
        <v>Andere Sprache/n</v>
      </c>
      <c r="O13" s="111"/>
      <c r="R13" s="26"/>
      <c r="S13" s="26"/>
      <c r="T13" s="26"/>
    </row>
    <row r="14" spans="1:20" ht="39" thickBot="1" x14ac:dyDescent="0.25">
      <c r="A14" s="108"/>
      <c r="B14" s="45" t="str">
        <f>VLOOKUP("&lt;SpaltenTitel_1.1&gt;",Uebersetzungen!$B$3:$E$32,Uebersetzungen!$B$2+1,FALSE)</f>
        <v>Anzahl Personen</v>
      </c>
      <c r="C14" s="48" t="str">
        <f>VLOOKUP("&lt;SpaltenTitel_1.2&gt;",Uebersetzungen!$B$3:$E$32,Uebersetzungen!$B$2+1,FALSE)</f>
        <v>Vertrauens- intervall: 
± (in %)</v>
      </c>
      <c r="D14" s="49" t="str">
        <f>VLOOKUP("&lt;SpaltenTitel_1.1&gt;",Uebersetzungen!$B$3:$E$32,Uebersetzungen!$B$2+1,FALSE)</f>
        <v>Anzahl Personen</v>
      </c>
      <c r="E14" s="48" t="str">
        <f>VLOOKUP("&lt;SpaltenTitel_1.2&gt;",Uebersetzungen!$B$3:$E$32,Uebersetzungen!$B$2+1,FALSE)</f>
        <v>Vertrauens- intervall: 
± (in %)</v>
      </c>
      <c r="F14" s="49" t="str">
        <f>VLOOKUP("&lt;SpaltenTitel_1.1&gt;",Uebersetzungen!$B$3:$E$32,Uebersetzungen!$B$2+1,FALSE)</f>
        <v>Anzahl Personen</v>
      </c>
      <c r="G14" s="48" t="str">
        <f>VLOOKUP("&lt;SpaltenTitel_1.2&gt;",Uebersetzungen!$B$3:$E$32,Uebersetzungen!$B$2+1,FALSE)</f>
        <v>Vertrauens- intervall: 
± (in %)</v>
      </c>
      <c r="H14" s="49" t="str">
        <f>VLOOKUP("&lt;SpaltenTitel_1.1&gt;",Uebersetzungen!$B$3:$E$32,Uebersetzungen!$B$2+1,FALSE)</f>
        <v>Anzahl Personen</v>
      </c>
      <c r="I14" s="46" t="str">
        <f>VLOOKUP("&lt;SpaltenTitel_1.2&gt;",Uebersetzungen!$B$3:$E$32,Uebersetzungen!$B$2+1,FALSE)</f>
        <v>Vertrauens- intervall: 
± (in %)</v>
      </c>
      <c r="J14" s="47" t="str">
        <f>VLOOKUP("&lt;SpaltenTitel_1.1&gt;",Uebersetzungen!$B$3:$E$32,Uebersetzungen!$B$2+1,FALSE)</f>
        <v>Anzahl Personen</v>
      </c>
      <c r="K14" s="46" t="str">
        <f>VLOOKUP("&lt;SpaltenTitel_1.2&gt;",Uebersetzungen!$B$3:$E$32,Uebersetzungen!$B$2+1,FALSE)</f>
        <v>Vertrauens- intervall: 
± (in %)</v>
      </c>
      <c r="L14" s="47" t="str">
        <f>VLOOKUP("&lt;SpaltenTitel_1.1&gt;",Uebersetzungen!$B$3:$E$32,Uebersetzungen!$B$2+1,FALSE)</f>
        <v>Anzahl Personen</v>
      </c>
      <c r="M14" s="48" t="str">
        <f>VLOOKUP("&lt;SpaltenTitel_1.2&gt;",Uebersetzungen!$B$3:$E$32,Uebersetzungen!$B$2+1,FALSE)</f>
        <v>Vertrauens- intervall: 
± (in %)</v>
      </c>
      <c r="N14" s="49" t="str">
        <f>VLOOKUP("&lt;SpaltenTitel_1.1&gt;",Uebersetzungen!$B$3:$E$32,Uebersetzungen!$B$2+1,FALSE)</f>
        <v>Anzahl Personen</v>
      </c>
      <c r="O14" s="50" t="str">
        <f>VLOOKUP("&lt;SpaltenTitel_1.2&gt;",Uebersetzungen!$B$3:$E$32,Uebersetzungen!$B$2+1,FALSE)</f>
        <v>Vertrauens- intervall: 
± (in %)</v>
      </c>
      <c r="R14" s="26"/>
      <c r="S14" s="26"/>
      <c r="T14" s="26"/>
    </row>
    <row r="15" spans="1:20" x14ac:dyDescent="0.2">
      <c r="A15" s="41" t="str">
        <f>VLOOKUP("&lt;Zeilentitel_1&gt;",Uebersetzungen!$B$3:$E$32,Uebersetzungen!$B$2+1,FALSE)</f>
        <v>Total</v>
      </c>
      <c r="B15" s="64">
        <v>7424121.9999999907</v>
      </c>
      <c r="C15" s="70">
        <v>5.4624157975364608E-2</v>
      </c>
      <c r="D15" s="71">
        <v>4549598.8571605748</v>
      </c>
      <c r="E15" s="67">
        <v>0.22995400939328936</v>
      </c>
      <c r="F15" s="64">
        <v>1664533.9800184923</v>
      </c>
      <c r="G15" s="70">
        <v>0.4451721010580027</v>
      </c>
      <c r="H15" s="71">
        <v>596463.97064693063</v>
      </c>
      <c r="I15" s="67">
        <v>1.0301383587974535</v>
      </c>
      <c r="J15" s="64">
        <v>35467.338527035186</v>
      </c>
      <c r="K15" s="70">
        <v>5.6495001907900937</v>
      </c>
      <c r="L15" s="71">
        <v>542085.25481290766</v>
      </c>
      <c r="M15" s="67">
        <v>1.4065389297346036</v>
      </c>
      <c r="N15" s="71">
        <v>1428777.2723440467</v>
      </c>
      <c r="O15" s="82">
        <v>0.83632536250910583</v>
      </c>
      <c r="R15" s="26"/>
      <c r="S15" s="26"/>
      <c r="T15" s="26"/>
    </row>
    <row r="16" spans="1:20" x14ac:dyDescent="0.2">
      <c r="A16" s="42" t="str">
        <f>VLOOKUP("&lt;Zeilentitel_2&gt;",Uebersetzungen!$B$3:$E$32,Uebersetzungen!$B$2+1,FALSE)</f>
        <v>Zürich</v>
      </c>
      <c r="B16" s="65">
        <v>1333436.0000000019</v>
      </c>
      <c r="C16" s="72">
        <v>0.14275710992643886</v>
      </c>
      <c r="D16" s="73">
        <v>1048442.6486757062</v>
      </c>
      <c r="E16" s="68">
        <v>0.52251952212783592</v>
      </c>
      <c r="F16" s="65">
        <v>44186.917749274246</v>
      </c>
      <c r="G16" s="72">
        <v>5.4473090681429968</v>
      </c>
      <c r="H16" s="73">
        <v>74828.239397047146</v>
      </c>
      <c r="I16" s="68">
        <v>4.176653622150865</v>
      </c>
      <c r="J16" s="65">
        <v>3770.0214412911068</v>
      </c>
      <c r="K16" s="72">
        <v>18.488518281040193</v>
      </c>
      <c r="L16" s="73">
        <v>143720.2222426192</v>
      </c>
      <c r="M16" s="68">
        <v>2.9820981525613557</v>
      </c>
      <c r="N16" s="73">
        <v>301935.29368383472</v>
      </c>
      <c r="O16" s="83">
        <v>1.9740892092106839</v>
      </c>
      <c r="R16" s="26"/>
      <c r="S16" s="26"/>
      <c r="T16" s="26"/>
    </row>
    <row r="17" spans="1:20" x14ac:dyDescent="0.2">
      <c r="A17" s="42" t="str">
        <f>VLOOKUP("&lt;Zeilentitel_3&gt;",Uebersetzungen!$B$3:$E$32,Uebersetzungen!$B$2+1,FALSE)</f>
        <v>Bern</v>
      </c>
      <c r="B17" s="65">
        <v>888558.00000002235</v>
      </c>
      <c r="C17" s="72">
        <v>0.14802321954745343</v>
      </c>
      <c r="D17" s="73">
        <v>731104.26064928598</v>
      </c>
      <c r="E17" s="68">
        <v>0.55716528753445183</v>
      </c>
      <c r="F17" s="65">
        <v>92770.794855654894</v>
      </c>
      <c r="G17" s="72">
        <v>3.5869355332366148</v>
      </c>
      <c r="H17" s="73">
        <v>26788.988246951925</v>
      </c>
      <c r="I17" s="68">
        <v>6.9848439511816949</v>
      </c>
      <c r="J17" s="77">
        <v>1196.3751864040071</v>
      </c>
      <c r="K17" s="79">
        <v>34.2883322440806</v>
      </c>
      <c r="L17" s="73">
        <v>45155.623645548781</v>
      </c>
      <c r="M17" s="68">
        <v>5.4663201520895495</v>
      </c>
      <c r="N17" s="73">
        <v>121601.90043211482</v>
      </c>
      <c r="O17" s="83">
        <v>3.2807261239561236</v>
      </c>
      <c r="R17" s="26"/>
      <c r="S17" s="26"/>
      <c r="T17" s="26"/>
    </row>
    <row r="18" spans="1:20" x14ac:dyDescent="0.2">
      <c r="A18" s="42" t="str">
        <f>VLOOKUP("&lt;Zeilentitel_4&gt;",Uebersetzungen!$B$3:$E$32,Uebersetzungen!$B$2+1,FALSE)</f>
        <v>Luzern</v>
      </c>
      <c r="B18" s="65">
        <v>358552.99999999965</v>
      </c>
      <c r="C18" s="72">
        <v>0.1982652969796079</v>
      </c>
      <c r="D18" s="73">
        <v>310517.47147280886</v>
      </c>
      <c r="E18" s="68">
        <v>0.53136556104358301</v>
      </c>
      <c r="F18" s="65">
        <v>5928.8407301531361</v>
      </c>
      <c r="G18" s="72">
        <v>10.39775474609386</v>
      </c>
      <c r="H18" s="73">
        <v>11816.991293054003</v>
      </c>
      <c r="I18" s="68">
        <v>7.4361983411629566</v>
      </c>
      <c r="J18" s="76">
        <v>814.5358118053349</v>
      </c>
      <c r="K18" s="79">
        <v>28.367305671886665</v>
      </c>
      <c r="L18" s="73">
        <v>20357.559762012133</v>
      </c>
      <c r="M18" s="68">
        <v>5.7778621628672466</v>
      </c>
      <c r="N18" s="73">
        <v>62686.88442730793</v>
      </c>
      <c r="O18" s="83">
        <v>3.2139475499984949</v>
      </c>
      <c r="R18" s="26"/>
      <c r="S18" s="26"/>
      <c r="T18" s="26"/>
    </row>
    <row r="19" spans="1:20" x14ac:dyDescent="0.2">
      <c r="A19" s="42" t="str">
        <f>VLOOKUP("&lt;Zeilentitel_5&gt;",Uebersetzungen!$B$3:$E$32,Uebersetzungen!$B$2+1,FALSE)</f>
        <v>Uri</v>
      </c>
      <c r="B19" s="65">
        <v>31562.000000000091</v>
      </c>
      <c r="C19" s="72">
        <v>1.1178706080999445</v>
      </c>
      <c r="D19" s="73">
        <v>28870.26843848206</v>
      </c>
      <c r="E19" s="68">
        <v>2.0717482372724474</v>
      </c>
      <c r="F19" s="76">
        <v>180.27015447814784</v>
      </c>
      <c r="G19" s="79">
        <v>86.767369028638598</v>
      </c>
      <c r="H19" s="80">
        <v>803.02713168194043</v>
      </c>
      <c r="I19" s="78">
        <v>43.632614593730445</v>
      </c>
      <c r="J19" s="65" t="s">
        <v>340</v>
      </c>
      <c r="K19" s="72" t="s">
        <v>340</v>
      </c>
      <c r="L19" s="80">
        <v>932.78977078961566</v>
      </c>
      <c r="M19" s="78">
        <v>40.912580858115341</v>
      </c>
      <c r="N19" s="73">
        <v>3466.7565380876576</v>
      </c>
      <c r="O19" s="83">
        <v>20.458224192756457</v>
      </c>
      <c r="R19" s="26"/>
      <c r="S19" s="26"/>
      <c r="T19" s="26"/>
    </row>
    <row r="20" spans="1:20" x14ac:dyDescent="0.2">
      <c r="A20" s="42" t="str">
        <f>VLOOKUP("&lt;Zeilentitel_6&gt;",Uebersetzungen!$B$3:$E$32,Uebersetzungen!$B$2+1,FALSE)</f>
        <v>Schwyz</v>
      </c>
      <c r="B20" s="65">
        <v>140631.00000000023</v>
      </c>
      <c r="C20" s="72">
        <v>0.39258717642488278</v>
      </c>
      <c r="D20" s="73">
        <v>121166.52685049074</v>
      </c>
      <c r="E20" s="68">
        <v>1.2406011486935145</v>
      </c>
      <c r="F20" s="65">
        <v>2802.7946093130067</v>
      </c>
      <c r="G20" s="72">
        <v>21.726978267754053</v>
      </c>
      <c r="H20" s="73">
        <v>4679.1578548568332</v>
      </c>
      <c r="I20" s="68">
        <v>16.639112814552316</v>
      </c>
      <c r="J20" s="76">
        <v>386.1614487564695</v>
      </c>
      <c r="K20" s="79">
        <v>58.382153293713714</v>
      </c>
      <c r="L20" s="73">
        <v>11817.688425033612</v>
      </c>
      <c r="M20" s="68">
        <v>10.513427600747532</v>
      </c>
      <c r="N20" s="73">
        <v>21899.753075522869</v>
      </c>
      <c r="O20" s="83">
        <v>7.7101073051154083</v>
      </c>
      <c r="R20" s="26"/>
      <c r="S20" s="26"/>
      <c r="T20" s="26"/>
    </row>
    <row r="21" spans="1:20" x14ac:dyDescent="0.2">
      <c r="A21" s="42" t="str">
        <f>VLOOKUP("&lt;Zeilentitel_7&gt;",Uebersetzungen!$B$3:$E$32,Uebersetzungen!$B$2+1,FALSE)</f>
        <v>Obwalden</v>
      </c>
      <c r="B21" s="65">
        <v>32753.000000000207</v>
      </c>
      <c r="C21" s="72">
        <v>0.85061838595663064</v>
      </c>
      <c r="D21" s="73">
        <v>29589.180950386948</v>
      </c>
      <c r="E21" s="68">
        <v>1.9994385096962988</v>
      </c>
      <c r="F21" s="76">
        <v>225.15579203451512</v>
      </c>
      <c r="G21" s="79">
        <v>72.894308743001048</v>
      </c>
      <c r="H21" s="80">
        <v>497.87817568241496</v>
      </c>
      <c r="I21" s="78">
        <v>51.85935753996867</v>
      </c>
      <c r="J21" s="65" t="s">
        <v>340</v>
      </c>
      <c r="K21" s="72" t="s">
        <v>340</v>
      </c>
      <c r="L21" s="81">
        <v>1254.7239735183334</v>
      </c>
      <c r="M21" s="78">
        <v>33.666494871713681</v>
      </c>
      <c r="N21" s="73">
        <v>3685.2891663161668</v>
      </c>
      <c r="O21" s="83">
        <v>19.01189738045025</v>
      </c>
      <c r="R21" s="26"/>
      <c r="S21" s="26"/>
      <c r="T21" s="26"/>
    </row>
    <row r="22" spans="1:20" x14ac:dyDescent="0.2">
      <c r="A22" s="42" t="str">
        <f>VLOOKUP("&lt;Zeilentitel_8&gt;",Uebersetzungen!$B$3:$E$32,Uebersetzungen!$B$2+1,FALSE)</f>
        <v>Nidwalden</v>
      </c>
      <c r="B22" s="65">
        <v>38257.99999999992</v>
      </c>
      <c r="C22" s="72">
        <v>0.92153462067470904</v>
      </c>
      <c r="D22" s="73">
        <v>34202.32108031158</v>
      </c>
      <c r="E22" s="68">
        <v>2.0599903877558181</v>
      </c>
      <c r="F22" s="76">
        <v>479.65087912227881</v>
      </c>
      <c r="G22" s="79">
        <v>51.911609766610027</v>
      </c>
      <c r="H22" s="80">
        <v>925.17129236211724</v>
      </c>
      <c r="I22" s="78">
        <v>39.533450731756979</v>
      </c>
      <c r="J22" s="65" t="s">
        <v>340</v>
      </c>
      <c r="K22" s="72" t="s">
        <v>340</v>
      </c>
      <c r="L22" s="73">
        <v>2439.0930500102641</v>
      </c>
      <c r="M22" s="68">
        <v>24.131462439569198</v>
      </c>
      <c r="N22" s="73">
        <v>4315.680997355098</v>
      </c>
      <c r="O22" s="83">
        <v>18.260826198064532</v>
      </c>
      <c r="R22" s="26"/>
      <c r="S22" s="26"/>
      <c r="T22" s="26"/>
    </row>
    <row r="23" spans="1:20" x14ac:dyDescent="0.2">
      <c r="A23" s="42" t="str">
        <f>VLOOKUP("&lt;Zeilentitel_9&gt;",Uebersetzungen!$B$3:$E$32,Uebersetzungen!$B$2+1,FALSE)</f>
        <v>Glarus</v>
      </c>
      <c r="B23" s="65">
        <v>34959.999999999935</v>
      </c>
      <c r="C23" s="72">
        <v>1.0308871229782495</v>
      </c>
      <c r="D23" s="73">
        <v>29377.198569817177</v>
      </c>
      <c r="E23" s="68">
        <v>2.9237764534316546</v>
      </c>
      <c r="F23" s="76">
        <v>383.97433167508973</v>
      </c>
      <c r="G23" s="79">
        <v>61.630990076286984</v>
      </c>
      <c r="H23" s="73">
        <v>1944.5355376847899</v>
      </c>
      <c r="I23" s="68">
        <v>25.838701633790638</v>
      </c>
      <c r="J23" s="65" t="s">
        <v>340</v>
      </c>
      <c r="K23" s="72" t="s">
        <v>340</v>
      </c>
      <c r="L23" s="81">
        <v>1331.9545759944849</v>
      </c>
      <c r="M23" s="78">
        <v>32.052513811368129</v>
      </c>
      <c r="N23" s="73">
        <v>6610.1901346099439</v>
      </c>
      <c r="O23" s="83">
        <v>13.952742039912595</v>
      </c>
      <c r="R23" s="26"/>
      <c r="S23" s="26"/>
      <c r="T23" s="26"/>
    </row>
    <row r="24" spans="1:20" x14ac:dyDescent="0.2">
      <c r="A24" s="42" t="str">
        <f>VLOOKUP("&lt;Zeilentitel_10&gt;",Uebersetzungen!$B$3:$E$32,Uebersetzungen!$B$2+1,FALSE)</f>
        <v>Zug</v>
      </c>
      <c r="B24" s="65">
        <v>110118.99999999916</v>
      </c>
      <c r="C24" s="72">
        <v>0.31952931198552947</v>
      </c>
      <c r="D24" s="73">
        <v>86073.38953212004</v>
      </c>
      <c r="E24" s="68">
        <v>1.2632163581930356</v>
      </c>
      <c r="F24" s="65">
        <v>3651.2803618162429</v>
      </c>
      <c r="G24" s="72">
        <v>13.303224796856238</v>
      </c>
      <c r="H24" s="73">
        <v>4609.1938036665306</v>
      </c>
      <c r="I24" s="68">
        <v>11.731539433361295</v>
      </c>
      <c r="J24" s="76">
        <v>302.29678892709171</v>
      </c>
      <c r="K24" s="79">
        <v>44.885589235284229</v>
      </c>
      <c r="L24" s="73">
        <v>15765.239888449794</v>
      </c>
      <c r="M24" s="68">
        <v>6.1700782697690757</v>
      </c>
      <c r="N24" s="73">
        <v>22320.217411359194</v>
      </c>
      <c r="O24" s="83">
        <v>5.0342131289910634</v>
      </c>
      <c r="R24" s="26"/>
      <c r="S24" s="26"/>
      <c r="T24" s="26"/>
    </row>
    <row r="25" spans="1:20" x14ac:dyDescent="0.2">
      <c r="A25" s="42" t="str">
        <f>VLOOKUP("&lt;Zeilentitel_11&gt;",Uebersetzungen!$B$3:$E$32,Uebersetzungen!$B$2+1,FALSE)</f>
        <v>Freiburg</v>
      </c>
      <c r="B25" s="65">
        <v>279035.99999999756</v>
      </c>
      <c r="C25" s="72">
        <v>0.30535297827098196</v>
      </c>
      <c r="D25" s="73">
        <v>72667.417817688474</v>
      </c>
      <c r="E25" s="68">
        <v>3.6041448887685439</v>
      </c>
      <c r="F25" s="65">
        <v>190237.91802487659</v>
      </c>
      <c r="G25" s="72">
        <v>1.4998494874228296</v>
      </c>
      <c r="H25" s="73">
        <v>6510.3270771800935</v>
      </c>
      <c r="I25" s="68">
        <v>14.334682701848715</v>
      </c>
      <c r="J25" s="65" t="s">
        <v>340</v>
      </c>
      <c r="K25" s="72" t="s">
        <v>340</v>
      </c>
      <c r="L25" s="73">
        <v>11358.913328572928</v>
      </c>
      <c r="M25" s="68">
        <v>11.037239970004153</v>
      </c>
      <c r="N25" s="73">
        <v>50078.280471933256</v>
      </c>
      <c r="O25" s="83">
        <v>5.1019848074433547</v>
      </c>
      <c r="R25" s="26"/>
      <c r="S25" s="26"/>
      <c r="T25" s="26"/>
    </row>
    <row r="26" spans="1:20" x14ac:dyDescent="0.2">
      <c r="A26" s="42" t="str">
        <f>VLOOKUP("&lt;Zeilentitel_12&gt;",Uebersetzungen!$B$3:$E$32,Uebersetzungen!$B$2+1,FALSE)</f>
        <v>Solothurn</v>
      </c>
      <c r="B26" s="65">
        <v>240566.00000000565</v>
      </c>
      <c r="C26" s="72">
        <v>0.37068380482835261</v>
      </c>
      <c r="D26" s="73">
        <v>206073.51544102959</v>
      </c>
      <c r="E26" s="68">
        <v>0.96736336216713892</v>
      </c>
      <c r="F26" s="65">
        <v>5753.083918054982</v>
      </c>
      <c r="G26" s="72">
        <v>14.976347502248657</v>
      </c>
      <c r="H26" s="73">
        <v>11217.515405515458</v>
      </c>
      <c r="I26" s="68">
        <v>10.893666148935978</v>
      </c>
      <c r="J26" s="76">
        <v>461.33499079941691</v>
      </c>
      <c r="K26" s="79">
        <v>57.153187193604168</v>
      </c>
      <c r="L26" s="73">
        <v>12023.612860957404</v>
      </c>
      <c r="M26" s="68">
        <v>10.869067879119044</v>
      </c>
      <c r="N26" s="73">
        <v>44853.066436532092</v>
      </c>
      <c r="O26" s="83">
        <v>5.3816550421053897</v>
      </c>
      <c r="R26" s="26"/>
      <c r="S26" s="26"/>
      <c r="T26" s="26"/>
    </row>
    <row r="27" spans="1:20" x14ac:dyDescent="0.2">
      <c r="A27" s="42" t="str">
        <f>VLOOKUP("&lt;Zeilentitel_13&gt;",Uebersetzungen!$B$3:$E$32,Uebersetzungen!$B$2+1,FALSE)</f>
        <v>Basel-Stadt</v>
      </c>
      <c r="B27" s="65">
        <v>167633.00000000247</v>
      </c>
      <c r="C27" s="72">
        <v>0.45500815859599641</v>
      </c>
      <c r="D27" s="73">
        <v>123559.75535574849</v>
      </c>
      <c r="E27" s="68">
        <v>1.7638067388633536</v>
      </c>
      <c r="F27" s="65">
        <v>9011.0742834629764</v>
      </c>
      <c r="G27" s="72">
        <v>12.100937912099152</v>
      </c>
      <c r="H27" s="73">
        <v>10232.416030941074</v>
      </c>
      <c r="I27" s="68">
        <v>11.37514744903482</v>
      </c>
      <c r="J27" s="76">
        <v>206.76343833703149</v>
      </c>
      <c r="K27" s="79">
        <v>79.471285254006318</v>
      </c>
      <c r="L27" s="73">
        <v>21998.599310505437</v>
      </c>
      <c r="M27" s="68">
        <v>7.7166632209471455</v>
      </c>
      <c r="N27" s="73">
        <v>42737.523508661194</v>
      </c>
      <c r="O27" s="83">
        <v>5.1772585256954029</v>
      </c>
      <c r="R27" s="26"/>
      <c r="S27" s="26"/>
      <c r="T27" s="26"/>
    </row>
    <row r="28" spans="1:20" x14ac:dyDescent="0.2">
      <c r="A28" s="42" t="str">
        <f>VLOOKUP("&lt;Zeilentitel_14&gt;",Uebersetzungen!$B$3:$E$32,Uebersetzungen!$B$2+1,FALSE)</f>
        <v>Basel-Landschaft</v>
      </c>
      <c r="B28" s="65">
        <v>250951.00000000038</v>
      </c>
      <c r="C28" s="72">
        <v>0.34188826947041301</v>
      </c>
      <c r="D28" s="73">
        <v>214191.22176312478</v>
      </c>
      <c r="E28" s="68">
        <v>0.95876611899050335</v>
      </c>
      <c r="F28" s="65">
        <v>5986.4641606708419</v>
      </c>
      <c r="G28" s="72">
        <v>14.729493931546754</v>
      </c>
      <c r="H28" s="73">
        <v>12388.850774138231</v>
      </c>
      <c r="I28" s="68">
        <v>10.253873618297993</v>
      </c>
      <c r="J28" s="76">
        <v>200.06234228586311</v>
      </c>
      <c r="K28" s="79">
        <v>78.942084012906321</v>
      </c>
      <c r="L28" s="73">
        <v>18688.915673244966</v>
      </c>
      <c r="M28" s="68">
        <v>8.5514219689476363</v>
      </c>
      <c r="N28" s="73">
        <v>45469.385568568548</v>
      </c>
      <c r="O28" s="83">
        <v>5.3466617717559632</v>
      </c>
      <c r="R28" s="26"/>
      <c r="S28" s="26"/>
      <c r="T28" s="26"/>
    </row>
    <row r="29" spans="1:20" x14ac:dyDescent="0.2">
      <c r="A29" s="42" t="str">
        <f>VLOOKUP("&lt;Zeilentitel_15&gt;",Uebersetzungen!$B$3:$E$54,Uebersetzungen!$B$2+1,FALSE)</f>
        <v>Schaffhausen</v>
      </c>
      <c r="B29" s="65">
        <v>73073.000000000742</v>
      </c>
      <c r="C29" s="72">
        <v>0.78132191728735156</v>
      </c>
      <c r="D29" s="73">
        <v>62725.181901377728</v>
      </c>
      <c r="E29" s="68">
        <v>1.846752522888498</v>
      </c>
      <c r="F29" s="77">
        <v>1471.2137845321142</v>
      </c>
      <c r="G29" s="79">
        <v>30.827812078010318</v>
      </c>
      <c r="H29" s="73">
        <v>2821.116351941937</v>
      </c>
      <c r="I29" s="68">
        <v>22.022166302100107</v>
      </c>
      <c r="J29" s="65" t="s">
        <v>340</v>
      </c>
      <c r="K29" s="72" t="s">
        <v>340</v>
      </c>
      <c r="L29" s="73">
        <v>5211.9724123064907</v>
      </c>
      <c r="M29" s="68">
        <v>16.602286272301637</v>
      </c>
      <c r="N29" s="73">
        <v>14354.875701550172</v>
      </c>
      <c r="O29" s="83">
        <v>9.5938106044934646</v>
      </c>
      <c r="R29" s="26"/>
      <c r="S29" s="26"/>
      <c r="T29" s="26"/>
    </row>
    <row r="30" spans="1:20" ht="14.25" customHeight="1" x14ac:dyDescent="0.2">
      <c r="A30" s="42" t="str">
        <f>VLOOKUP("&lt;Zeilentitel_16&gt;",Uebersetzungen!$B$3:$E$54,Uebersetzungen!$B$2+1,FALSE)</f>
        <v>Appenzell Ausserrhoden</v>
      </c>
      <c r="B30" s="65">
        <v>46579.000000000226</v>
      </c>
      <c r="C30" s="72">
        <v>0.84673135077894024</v>
      </c>
      <c r="D30" s="73">
        <v>42569.393760859566</v>
      </c>
      <c r="E30" s="68">
        <v>1.7359145426125522</v>
      </c>
      <c r="F30" s="76">
        <v>682.97804887095901</v>
      </c>
      <c r="G30" s="79">
        <v>44.563026072145256</v>
      </c>
      <c r="H30" s="81">
        <v>1105.7057526895778</v>
      </c>
      <c r="I30" s="78">
        <v>36.267124127660679</v>
      </c>
      <c r="J30" s="65" t="s">
        <v>340</v>
      </c>
      <c r="K30" s="72" t="s">
        <v>340</v>
      </c>
      <c r="L30" s="81">
        <v>1855.7549406809649</v>
      </c>
      <c r="M30" s="78">
        <v>28.214326670884716</v>
      </c>
      <c r="N30" s="73">
        <v>5267.1922111641288</v>
      </c>
      <c r="O30" s="83">
        <v>16.720390578078291</v>
      </c>
      <c r="R30" s="26"/>
      <c r="S30" s="26"/>
      <c r="T30" s="26"/>
    </row>
    <row r="31" spans="1:20" x14ac:dyDescent="0.2">
      <c r="A31" s="42" t="str">
        <f>VLOOKUP("&lt;Zeilentitel_17&gt;",Uebersetzungen!$B$3:$E$54,Uebersetzungen!$B$2+1,FALSE)</f>
        <v>Appenzell Innerrhoden</v>
      </c>
      <c r="B31" s="65">
        <v>13537.000000000067</v>
      </c>
      <c r="C31" s="72">
        <v>1.5664021983064329</v>
      </c>
      <c r="D31" s="73">
        <v>12693.596875968382</v>
      </c>
      <c r="E31" s="68">
        <v>3.0848126339291895</v>
      </c>
      <c r="F31" s="76">
        <v>173.86761199943481</v>
      </c>
      <c r="G31" s="79">
        <v>86.43209946224205</v>
      </c>
      <c r="H31" s="80">
        <v>187.23452583929412</v>
      </c>
      <c r="I31" s="78">
        <v>87.445031585411925</v>
      </c>
      <c r="J31" s="65" t="s">
        <v>340</v>
      </c>
      <c r="K31" s="72" t="s">
        <v>340</v>
      </c>
      <c r="L31" s="80">
        <v>450.10332837004984</v>
      </c>
      <c r="M31" s="78">
        <v>55.169157469180298</v>
      </c>
      <c r="N31" s="81">
        <v>1160.1877913794108</v>
      </c>
      <c r="O31" s="84">
        <v>34.332551412794984</v>
      </c>
      <c r="R31" s="26"/>
      <c r="S31" s="26"/>
      <c r="T31" s="26"/>
    </row>
    <row r="32" spans="1:20" x14ac:dyDescent="0.2">
      <c r="A32" s="42" t="str">
        <f>VLOOKUP("&lt;Zeilentitel_18&gt;",Uebersetzungen!$B$3:$E$54,Uebersetzungen!$B$2+1,FALSE)</f>
        <v>St. Gallen</v>
      </c>
      <c r="B32" s="65">
        <v>444144.00000000524</v>
      </c>
      <c r="C32" s="72">
        <v>0.23622220314683703</v>
      </c>
      <c r="D32" s="73">
        <v>382319.73185487179</v>
      </c>
      <c r="E32" s="68">
        <v>0.70458743844268135</v>
      </c>
      <c r="F32" s="65">
        <v>4508.1616763179636</v>
      </c>
      <c r="G32" s="72">
        <v>17.259253345357219</v>
      </c>
      <c r="H32" s="73">
        <v>15950.298410048939</v>
      </c>
      <c r="I32" s="68">
        <v>9.11923109698537</v>
      </c>
      <c r="J32" s="77">
        <v>1396.5899073222893</v>
      </c>
      <c r="K32" s="79">
        <v>30.894934416626075</v>
      </c>
      <c r="L32" s="73">
        <v>23017.34713071294</v>
      </c>
      <c r="M32" s="68">
        <v>7.7984286537564991</v>
      </c>
      <c r="N32" s="73">
        <v>86402.529187437336</v>
      </c>
      <c r="O32" s="83">
        <v>3.8451504468964757</v>
      </c>
      <c r="R32" s="26"/>
      <c r="S32" s="26"/>
      <c r="T32" s="26"/>
    </row>
    <row r="33" spans="1:20" x14ac:dyDescent="0.2">
      <c r="A33" s="43" t="str">
        <f>VLOOKUP("&lt;Zeilentitel_19&gt;",Uebersetzungen!$B$3:$E$54,Uebersetzungen!$B$2+1,FALSE)</f>
        <v>Graubünden</v>
      </c>
      <c r="B33" s="86">
        <v>174610.99999999674</v>
      </c>
      <c r="C33" s="87">
        <v>0.33944767742205417</v>
      </c>
      <c r="D33" s="11">
        <v>129933.75126326461</v>
      </c>
      <c r="E33" s="51">
        <v>1.6079033993683054</v>
      </c>
      <c r="F33" s="86">
        <v>2132.0486762813607</v>
      </c>
      <c r="G33" s="87">
        <v>24.47953450686499</v>
      </c>
      <c r="H33" s="11">
        <v>22284.398399123609</v>
      </c>
      <c r="I33" s="51">
        <v>7.2388362482948168</v>
      </c>
      <c r="J33" s="86">
        <v>23103.957241636075</v>
      </c>
      <c r="K33" s="87">
        <v>6.9728602711780416</v>
      </c>
      <c r="L33" s="11">
        <v>6683.5398062028016</v>
      </c>
      <c r="M33" s="51">
        <v>14.3575611004728</v>
      </c>
      <c r="N33" s="11">
        <v>23073.031638341956</v>
      </c>
      <c r="O33" s="88">
        <v>7.4997242966289148</v>
      </c>
      <c r="R33" s="26"/>
      <c r="S33" s="26"/>
      <c r="T33" s="26"/>
    </row>
    <row r="34" spans="1:20" x14ac:dyDescent="0.2">
      <c r="A34" s="42" t="str">
        <f>VLOOKUP("&lt;Zeilentitel_20&gt;",Uebersetzungen!$B$3:$E$54,Uebersetzungen!$B$2+1,FALSE)</f>
        <v>Aargau</v>
      </c>
      <c r="B34" s="65">
        <v>604896.99999998265</v>
      </c>
      <c r="C34" s="72">
        <v>0.14982201152290697</v>
      </c>
      <c r="D34" s="73">
        <v>510568.60214040149</v>
      </c>
      <c r="E34" s="68">
        <v>0.44845316281350434</v>
      </c>
      <c r="F34" s="65">
        <v>10219.01434648696</v>
      </c>
      <c r="G34" s="72">
        <v>7.8464587505360335</v>
      </c>
      <c r="H34" s="73">
        <v>32492.727526905965</v>
      </c>
      <c r="I34" s="68">
        <v>4.4180845105480655</v>
      </c>
      <c r="J34" s="65">
        <v>1110.1440701758115</v>
      </c>
      <c r="K34" s="72">
        <v>23.935712383169637</v>
      </c>
      <c r="L34" s="73">
        <v>37060.294936829792</v>
      </c>
      <c r="M34" s="68">
        <v>4.2110770831101405</v>
      </c>
      <c r="N34" s="73">
        <v>121371.29405993391</v>
      </c>
      <c r="O34" s="83">
        <v>2.2446758710995955</v>
      </c>
      <c r="R34" s="26"/>
      <c r="S34" s="26"/>
      <c r="T34" s="26"/>
    </row>
    <row r="35" spans="1:20" x14ac:dyDescent="0.2">
      <c r="A35" s="42" t="str">
        <f>VLOOKUP("&lt;Zeilentitel_21&gt;",Uebersetzungen!$B$3:$E$54,Uebersetzungen!$B$2+1,FALSE)</f>
        <v>Thurgau</v>
      </c>
      <c r="B35" s="65">
        <v>245573.99999999683</v>
      </c>
      <c r="C35" s="72">
        <v>0.35006434836605593</v>
      </c>
      <c r="D35" s="73">
        <v>215486.2292924301</v>
      </c>
      <c r="E35" s="68">
        <v>0.88244387279603309</v>
      </c>
      <c r="F35" s="65">
        <v>1798.4387952516481</v>
      </c>
      <c r="G35" s="72">
        <v>27.148450184900167</v>
      </c>
      <c r="H35" s="73">
        <v>8390.2007133999887</v>
      </c>
      <c r="I35" s="68">
        <v>12.794244036563404</v>
      </c>
      <c r="J35" s="76">
        <v>437.6862180826995</v>
      </c>
      <c r="K35" s="79">
        <v>56.297859305804913</v>
      </c>
      <c r="L35" s="73">
        <v>10836.402061134089</v>
      </c>
      <c r="M35" s="68">
        <v>11.601217127086276</v>
      </c>
      <c r="N35" s="73">
        <v>42219.612659507096</v>
      </c>
      <c r="O35" s="83">
        <v>5.7010380402890561</v>
      </c>
      <c r="R35" s="26"/>
      <c r="S35" s="26"/>
      <c r="T35" s="26"/>
    </row>
    <row r="36" spans="1:20" x14ac:dyDescent="0.2">
      <c r="A36" s="42" t="str">
        <f>VLOOKUP("&lt;Zeilentitel_22&gt;",Uebersetzungen!$B$3:$E$54,Uebersetzungen!$B$2+1,FALSE)</f>
        <v>Tessin</v>
      </c>
      <c r="B36" s="65">
        <v>306302.00000000146</v>
      </c>
      <c r="C36" s="72">
        <v>0.2032924159610254</v>
      </c>
      <c r="D36" s="73">
        <v>28674.369290740939</v>
      </c>
      <c r="E36" s="68">
        <v>4.4678729772545669</v>
      </c>
      <c r="F36" s="65">
        <v>12819.073054779288</v>
      </c>
      <c r="G36" s="72">
        <v>6.9287303271025396</v>
      </c>
      <c r="H36" s="73">
        <v>267817.38283532165</v>
      </c>
      <c r="I36" s="68">
        <v>0.58308256864456209</v>
      </c>
      <c r="J36" s="76">
        <v>307.54779436159896</v>
      </c>
      <c r="K36" s="79">
        <v>46.662507975914281</v>
      </c>
      <c r="L36" s="73">
        <v>14010.673179697464</v>
      </c>
      <c r="M36" s="68">
        <v>7.018822494960987</v>
      </c>
      <c r="N36" s="73">
        <v>39190.842479376472</v>
      </c>
      <c r="O36" s="83">
        <v>4.0568854773118286</v>
      </c>
      <c r="R36" s="26"/>
      <c r="S36" s="26"/>
      <c r="T36" s="26"/>
    </row>
    <row r="37" spans="1:20" x14ac:dyDescent="0.2">
      <c r="A37" s="42" t="str">
        <f>VLOOKUP("&lt;Zeilentitel_23&gt;",Uebersetzungen!$B$3:$E$54,Uebersetzungen!$B$2+1,FALSE)</f>
        <v>Waadt</v>
      </c>
      <c r="B37" s="65">
        <v>690662.99999999069</v>
      </c>
      <c r="C37" s="72">
        <v>0.13789005411486638</v>
      </c>
      <c r="D37" s="73">
        <v>32606.207739250029</v>
      </c>
      <c r="E37" s="68">
        <v>4.2215310834939546</v>
      </c>
      <c r="F37" s="65">
        <v>565817.92079690285</v>
      </c>
      <c r="G37" s="72">
        <v>0.46246781591904546</v>
      </c>
      <c r="H37" s="73">
        <v>33133.691291206349</v>
      </c>
      <c r="I37" s="68">
        <v>4.3319175732873694</v>
      </c>
      <c r="J37" s="76">
        <v>510.50709345370677</v>
      </c>
      <c r="K37" s="79">
        <v>37.229556071625979</v>
      </c>
      <c r="L37" s="73">
        <v>65051.109751297088</v>
      </c>
      <c r="M37" s="68">
        <v>3.0974017684236159</v>
      </c>
      <c r="N37" s="73">
        <v>157919.9978655072</v>
      </c>
      <c r="O37" s="83">
        <v>1.8885016584570029</v>
      </c>
      <c r="R37" s="26"/>
      <c r="S37" s="26"/>
      <c r="T37" s="26"/>
    </row>
    <row r="38" spans="1:20" x14ac:dyDescent="0.2">
      <c r="A38" s="42" t="str">
        <f>VLOOKUP("&lt;Zeilentitel_24&gt;",Uebersetzungen!$B$3:$E$54,Uebersetzungen!$B$2+1,FALSE)</f>
        <v>Wallis</v>
      </c>
      <c r="B38" s="65">
        <v>306633.99999999721</v>
      </c>
      <c r="C38" s="72">
        <v>0.29928814409268412</v>
      </c>
      <c r="D38" s="73">
        <v>72157.491403830296</v>
      </c>
      <c r="E38" s="68">
        <v>3.7150675930007488</v>
      </c>
      <c r="F38" s="65">
        <v>204867.7810117304</v>
      </c>
      <c r="G38" s="72">
        <v>1.4837199454692607</v>
      </c>
      <c r="H38" s="73">
        <v>12625.969652966034</v>
      </c>
      <c r="I38" s="68">
        <v>10.338316477840095</v>
      </c>
      <c r="J38" s="76">
        <v>273.51918172405772</v>
      </c>
      <c r="K38" s="79">
        <v>74.31465977999315</v>
      </c>
      <c r="L38" s="73">
        <v>14238.571266369443</v>
      </c>
      <c r="M38" s="68">
        <v>10.010781511062596</v>
      </c>
      <c r="N38" s="73">
        <v>51574.562080513715</v>
      </c>
      <c r="O38" s="83">
        <v>5.0340780538403935</v>
      </c>
    </row>
    <row r="39" spans="1:20" x14ac:dyDescent="0.2">
      <c r="A39" s="42" t="str">
        <f>VLOOKUP("&lt;Zeilentitel_25&gt;",Uebersetzungen!$B$3:$E$54,Uebersetzungen!$B$2+1,FALSE)</f>
        <v>Neuenburg</v>
      </c>
      <c r="B39" s="65">
        <v>148771.99999999948</v>
      </c>
      <c r="C39" s="72">
        <v>0.27454805374010388</v>
      </c>
      <c r="D39" s="73">
        <v>6371.3817570591791</v>
      </c>
      <c r="E39" s="68">
        <v>9.5601854001463362</v>
      </c>
      <c r="F39" s="65">
        <v>128671.1237037682</v>
      </c>
      <c r="G39" s="72">
        <v>0.84945607479325724</v>
      </c>
      <c r="H39" s="73">
        <v>7038.241583262653</v>
      </c>
      <c r="I39" s="68">
        <v>9.2568640184717843</v>
      </c>
      <c r="J39" s="65" t="s">
        <v>340</v>
      </c>
      <c r="K39" s="72" t="s">
        <v>340</v>
      </c>
      <c r="L39" s="73">
        <v>6302.279779241966</v>
      </c>
      <c r="M39" s="68">
        <v>10.402683311065042</v>
      </c>
      <c r="N39" s="73">
        <v>28139.672751810274</v>
      </c>
      <c r="O39" s="83">
        <v>4.5641673393154125</v>
      </c>
    </row>
    <row r="40" spans="1:20" x14ac:dyDescent="0.2">
      <c r="A40" s="42" t="str">
        <f>VLOOKUP("&lt;Zeilentitel_26&gt;",Uebersetzungen!$B$3:$E$54,Uebersetzungen!$B$2+1,FALSE)</f>
        <v>Genf</v>
      </c>
      <c r="B40" s="65">
        <v>400257.99999999767</v>
      </c>
      <c r="C40" s="72">
        <v>0.23720624115937694</v>
      </c>
      <c r="D40" s="73">
        <v>13956.408645078573</v>
      </c>
      <c r="E40" s="68">
        <v>6.7633118652837654</v>
      </c>
      <c r="F40" s="65">
        <v>314151.37454019347</v>
      </c>
      <c r="G40" s="72">
        <v>0.71859511443131241</v>
      </c>
      <c r="H40" s="73">
        <v>23627.079777899187</v>
      </c>
      <c r="I40" s="68">
        <v>5.2664184927237736</v>
      </c>
      <c r="J40" s="76">
        <v>283.58845362299712</v>
      </c>
      <c r="K40" s="79">
        <v>50.039919124113332</v>
      </c>
      <c r="L40" s="73">
        <v>48759.558615409594</v>
      </c>
      <c r="M40" s="68">
        <v>3.7080378295106158</v>
      </c>
      <c r="N40" s="73">
        <v>119616.20501404275</v>
      </c>
      <c r="O40" s="83">
        <v>2.179465276175323</v>
      </c>
    </row>
    <row r="41" spans="1:20" ht="13.5" thickBot="1" x14ac:dyDescent="0.25">
      <c r="A41" s="44" t="str">
        <f>VLOOKUP("&lt;Zeilentitel_27&gt;",Uebersetzungen!$B$3:$E$54,Uebersetzungen!$B$2+1,FALSE)</f>
        <v>Jura</v>
      </c>
      <c r="B41" s="66">
        <v>62061.999999999651</v>
      </c>
      <c r="C41" s="74">
        <v>0.55587129579088701</v>
      </c>
      <c r="D41" s="75">
        <v>3701.3346384404613</v>
      </c>
      <c r="E41" s="69">
        <v>17.854490406355602</v>
      </c>
      <c r="F41" s="66">
        <v>55622.764120790765</v>
      </c>
      <c r="G41" s="74">
        <v>1.5969405212528989</v>
      </c>
      <c r="H41" s="75">
        <v>1747.6318055628533</v>
      </c>
      <c r="I41" s="69">
        <v>27.185054272100597</v>
      </c>
      <c r="J41" s="66" t="s">
        <v>340</v>
      </c>
      <c r="K41" s="74" t="s">
        <v>340</v>
      </c>
      <c r="L41" s="75">
        <v>1762.7110973980186</v>
      </c>
      <c r="M41" s="69">
        <v>27.278113790877441</v>
      </c>
      <c r="N41" s="75">
        <v>6827.0470512786997</v>
      </c>
      <c r="O41" s="85">
        <v>13.542862576766924</v>
      </c>
    </row>
    <row r="43" spans="1:20" x14ac:dyDescent="0.2">
      <c r="A43" s="14" t="str">
        <f>VLOOKUP("&lt;Legende_1&gt;",Uebersetzungen!$B$3:$E$54,Uebersetzungen!$B$2+1,FALSE)</f>
        <v>Die Befragten konnten mehrere Hauptsprachen nennen.</v>
      </c>
    </row>
    <row r="44" spans="1:20" x14ac:dyDescent="0.2">
      <c r="A44" s="14" t="str">
        <f>VLOOKUP("&lt;Legende_2&gt;",Uebersetzungen!$B$3:$E$54,Uebersetzungen!$B$2+1,FALSE)</f>
        <v>(): Extrapolation aufgrund von 49 oder weniger Beobachtungen. Die Resultate sind mit grosser Vorsicht zu interpretieren.</v>
      </c>
    </row>
    <row r="45" spans="1:20" x14ac:dyDescent="0.2">
      <c r="A45" s="14" t="str">
        <f>VLOOKUP("&lt;Legende_3&gt;",Uebersetzungen!$B$3:$E$54,Uebersetzungen!$B$2+1,FALSE)</f>
        <v>X: Extrapolation aufgrund von 4 oder weniger Beobachtungen. Die Resultate werden aus Gründen des Datenschutzes nicht publiziert.</v>
      </c>
    </row>
    <row r="46" spans="1:20" x14ac:dyDescent="0.2">
      <c r="A46" s="14" t="str">
        <f>VLOOKUP("&lt;Legende_4&gt;",Uebersetzungen!$B$3:$E$54,Uebersetzungen!$B$2+1,FALSE)</f>
        <v>Die Grundgesamtheit der Strukturerhebung enthält alle Personen der ständigen Wohnbevölkerung ab vollendetem 15. Altersjahr, die in Privathaushalten leben.</v>
      </c>
    </row>
    <row r="47" spans="1:20" x14ac:dyDescent="0.2">
      <c r="A47" s="7"/>
    </row>
    <row r="48" spans="1:20" x14ac:dyDescent="0.2">
      <c r="A48" s="7" t="str">
        <f>VLOOKUP("&lt;Quelle_1&gt;",Uebersetzungen!$B$3:$E$54,Uebersetzungen!$B$2+1,FALSE)</f>
        <v>Quelle: BFS (Strukturerhebung)</v>
      </c>
    </row>
    <row r="49" spans="1:15" x14ac:dyDescent="0.2">
      <c r="A49" s="14" t="str">
        <f>VLOOKUP("&lt;Aktualisierung&gt;",Uebersetzungen!$B$3:$E$54,Uebersetzungen!$B$2+1,FALSE)</f>
        <v>Letztmals aktualisiert am: 17.02.2025</v>
      </c>
    </row>
    <row r="50" spans="1:15" x14ac:dyDescent="0.2">
      <c r="B50" s="9"/>
      <c r="N50" s="9"/>
    </row>
    <row r="52" spans="1:15" x14ac:dyDescent="0.2">
      <c r="B52" s="10"/>
      <c r="N52" s="10"/>
    </row>
    <row r="53" spans="1:15" x14ac:dyDescent="0.2">
      <c r="N53" s="9"/>
      <c r="O53" s="9"/>
    </row>
  </sheetData>
  <sheetProtection sheet="1" objects="1" scenarios="1"/>
  <mergeCells count="10">
    <mergeCell ref="A13:A14"/>
    <mergeCell ref="B13:C13"/>
    <mergeCell ref="L13:M13"/>
    <mergeCell ref="N13:O13"/>
    <mergeCell ref="A7:L7"/>
    <mergeCell ref="B12:O12"/>
    <mergeCell ref="J13:K13"/>
    <mergeCell ref="D13:E13"/>
    <mergeCell ref="F13:G13"/>
    <mergeCell ref="H13:I13"/>
  </mergeCells>
  <pageMargins left="0.7" right="0.7" top="0.78740157499999996" bottom="0.78740157499999996" header="0.3" footer="0.3"/>
  <pageSetup paperSize="9" scale="46" orientation="portrait" r:id="rId1"/>
  <colBreaks count="1" manualBreakCount="1"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6</xdr:col>
                    <xdr:colOff>361950</xdr:colOff>
                    <xdr:row>1</xdr:row>
                    <xdr:rowOff>114300</xdr:rowOff>
                  </from>
                  <to>
                    <xdr:col>7</xdr:col>
                    <xdr:colOff>676275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6</xdr:col>
                    <xdr:colOff>361950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6</xdr:col>
                    <xdr:colOff>361950</xdr:colOff>
                    <xdr:row>3</xdr:row>
                    <xdr:rowOff>66675</xdr:rowOff>
                  </from>
                  <to>
                    <xdr:col>7</xdr:col>
                    <xdr:colOff>676275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0"/>
  <sheetViews>
    <sheetView showGridLines="0" zoomScaleNormal="100" workbookViewId="0"/>
  </sheetViews>
  <sheetFormatPr baseColWidth="10" defaultRowHeight="12.75" x14ac:dyDescent="0.2"/>
  <cols>
    <col min="1" max="1" width="29.75" style="6" customWidth="1"/>
    <col min="2" max="2" width="33.25" style="6" customWidth="1"/>
    <col min="3" max="16" width="9.5" style="6" customWidth="1"/>
    <col min="17" max="16384" width="11" style="6"/>
  </cols>
  <sheetData>
    <row r="1" spans="1:17" s="1" customFormat="1" x14ac:dyDescent="0.2"/>
    <row r="2" spans="1:17" s="1" customFormat="1" ht="15.75" x14ac:dyDescent="0.25">
      <c r="B2" s="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7" s="1" customFormat="1" ht="15.75" x14ac:dyDescent="0.25">
      <c r="B3" s="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7" s="1" customFormat="1" ht="15.75" x14ac:dyDescent="0.25">
      <c r="B4" s="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7" s="1" customFormat="1" x14ac:dyDescent="0.2"/>
    <row r="6" spans="1:17" s="1" customFormat="1" x14ac:dyDescent="0.2"/>
    <row r="7" spans="1:17" s="1" customFormat="1" ht="15.75" customHeight="1" x14ac:dyDescent="0.2">
      <c r="A7" s="112" t="str">
        <f>VLOOKUP("&lt;Fachbereich&gt;",Uebersetzungen!$B$3:$E$32,Uebersetzungen!$B$2+1,FALSE)</f>
        <v>Daten &amp; Statistik</v>
      </c>
      <c r="B7" s="112"/>
      <c r="C7" s="112"/>
      <c r="D7" s="112"/>
      <c r="E7" s="37"/>
      <c r="F7" s="37"/>
      <c r="G7" s="39"/>
      <c r="H7" s="39"/>
      <c r="I7" s="39"/>
      <c r="J7" s="39"/>
      <c r="K7" s="39"/>
      <c r="L7" s="39"/>
      <c r="M7" s="13"/>
      <c r="N7" s="13"/>
      <c r="O7" s="13"/>
      <c r="P7" s="13"/>
      <c r="Q7" s="13"/>
    </row>
    <row r="8" spans="1:17" s="1" customFormat="1" x14ac:dyDescent="0.2"/>
    <row r="9" spans="1:17" ht="18" x14ac:dyDescent="0.2">
      <c r="A9" s="3" t="str">
        <f>VLOOKUP("&lt;T2Titel&gt;",Uebersetzungen!$B$3:$E$113,Uebersetzungen!$B$2+1,FALSE)</f>
        <v>Ständige Wohnbevölkerung nach Hauptsprachen in Graubünden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7" x14ac:dyDescent="0.2">
      <c r="A10" s="7" t="str">
        <f>VLOOKUP("&lt;T2UTitel&gt;",Uebersetzungen!$B$3:$E$113,Uebersetzungen!$B$2+1,FALSE)</f>
        <v>Ständige Wohnbevölkerung ab 15 Jahren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7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7" ht="18" x14ac:dyDescent="0.25">
      <c r="A12" s="8"/>
      <c r="B12" s="8"/>
      <c r="C12" s="123">
        <v>2023</v>
      </c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5"/>
    </row>
    <row r="13" spans="1:17" ht="37.5" customHeight="1" x14ac:dyDescent="0.2">
      <c r="B13" s="118"/>
      <c r="C13" s="120" t="str">
        <f>VLOOKUP("&lt;SpaltenTitel_1&gt;",Uebersetzungen!$B$3:$E$32,Uebersetzungen!$B$2+1,FALSE)</f>
        <v>Total</v>
      </c>
      <c r="D13" s="121"/>
      <c r="E13" s="121" t="str">
        <f>VLOOKUP("&lt;SpaltenTitel_2&gt;",Uebersetzungen!$B$3:$E$32,Uebersetzungen!$B$2+1,FALSE)</f>
        <v>Deutsch (oder Schweizerdeutsch)</v>
      </c>
      <c r="F13" s="121"/>
      <c r="G13" s="121" t="str">
        <f>VLOOKUP("&lt;SpaltenTitel_3&gt;",Uebersetzungen!$B$3:$E$32,Uebersetzungen!$B$2+1,FALSE)</f>
        <v>Französisch (oder Patois Romand)</v>
      </c>
      <c r="H13" s="121"/>
      <c r="I13" s="121" t="str">
        <f>VLOOKUP("&lt;SpaltenTitel_4&gt;",Uebersetzungen!$B$3:$E$32,Uebersetzungen!$B$2+1,FALSE)</f>
        <v>Italienisch (oder Tessiner/Bündner-italienischer Dialekt)</v>
      </c>
      <c r="J13" s="121"/>
      <c r="K13" s="121" t="str">
        <f>VLOOKUP("&lt;SpaltenTitel_5&gt;",Uebersetzungen!$B$3:$E$32,Uebersetzungen!$B$2+1,FALSE)</f>
        <v>Rätoromanisch</v>
      </c>
      <c r="L13" s="121"/>
      <c r="M13" s="121" t="str">
        <f>VLOOKUP("&lt;SpaltenTitel_6&gt;",Uebersetzungen!$B$3:$E$32,Uebersetzungen!$B$2+1,FALSE)</f>
        <v>Englisch</v>
      </c>
      <c r="N13" s="121"/>
      <c r="O13" s="121" t="str">
        <f>VLOOKUP("&lt;SpaltenTitel_7&gt;",Uebersetzungen!$B$3:$E$32,Uebersetzungen!$B$2+1,FALSE)</f>
        <v>Andere Sprache/n</v>
      </c>
      <c r="P13" s="122"/>
    </row>
    <row r="14" spans="1:17" ht="39" thickBot="1" x14ac:dyDescent="0.25">
      <c r="B14" s="119"/>
      <c r="C14" s="63" t="str">
        <f>VLOOKUP("&lt;SpaltenTitel_1.1&gt;",Uebersetzungen!$B$3:$E$32,Uebersetzungen!$B$2+1,FALSE)</f>
        <v>Anzahl Personen</v>
      </c>
      <c r="D14" s="62" t="str">
        <f>VLOOKUP("&lt;SpaltenTitel_1.2&gt;",Uebersetzungen!$B$3:$E$32,Uebersetzungen!$B$2+1,FALSE)</f>
        <v>Vertrauens- intervall: 
± (in %)</v>
      </c>
      <c r="E14" s="58" t="str">
        <f>VLOOKUP("&lt;SpaltenTitel_1.1&gt;",Uebersetzungen!$B$3:$E$32,Uebersetzungen!$B$2+1,FALSE)</f>
        <v>Anzahl Personen</v>
      </c>
      <c r="F14" s="57" t="str">
        <f>VLOOKUP("&lt;SpaltenTitel_1.2&gt;",Uebersetzungen!$B$3:$E$32,Uebersetzungen!$B$2+1,FALSE)</f>
        <v>Vertrauens- intervall: 
± (in %)</v>
      </c>
      <c r="G14" s="59" t="str">
        <f>VLOOKUP("&lt;SpaltenTitel_1.1&gt;",Uebersetzungen!$B$3:$E$32,Uebersetzungen!$B$2+1,FALSE)</f>
        <v>Anzahl Personen</v>
      </c>
      <c r="H14" s="57" t="str">
        <f>VLOOKUP("&lt;SpaltenTitel_1.2&gt;",Uebersetzungen!$B$3:$E$32,Uebersetzungen!$B$2+1,FALSE)</f>
        <v>Vertrauens- intervall: 
± (in %)</v>
      </c>
      <c r="I14" s="60" t="str">
        <f>VLOOKUP("&lt;SpaltenTitel_1.1&gt;",Uebersetzungen!$B$3:$E$32,Uebersetzungen!$B$2+1,FALSE)</f>
        <v>Anzahl Personen</v>
      </c>
      <c r="J14" s="62" t="str">
        <f>VLOOKUP("&lt;SpaltenTitel_1.2&gt;",Uebersetzungen!$B$3:$E$32,Uebersetzungen!$B$2+1,FALSE)</f>
        <v>Vertrauens- intervall: 
± (in %)</v>
      </c>
      <c r="K14" s="60" t="str">
        <f>VLOOKUP("&lt;SpaltenTitel_1.1&gt;",Uebersetzungen!$B$3:$E$32,Uebersetzungen!$B$2+1,FALSE)</f>
        <v>Anzahl Personen</v>
      </c>
      <c r="L14" s="62" t="str">
        <f>VLOOKUP("&lt;SpaltenTitel_1.2&gt;",Uebersetzungen!$B$3:$E$32,Uebersetzungen!$B$2+1,FALSE)</f>
        <v>Vertrauens- intervall: 
± (in %)</v>
      </c>
      <c r="M14" s="60" t="str">
        <f>VLOOKUP("&lt;SpaltenTitel_1.1&gt;",Uebersetzungen!$B$3:$E$32,Uebersetzungen!$B$2+1,FALSE)</f>
        <v>Anzahl Personen</v>
      </c>
      <c r="N14" s="62" t="str">
        <f>VLOOKUP("&lt;SpaltenTitel_1.2&gt;",Uebersetzungen!$B$3:$E$32,Uebersetzungen!$B$2+1,FALSE)</f>
        <v>Vertrauens- intervall: 
± (in %)</v>
      </c>
      <c r="O14" s="60" t="str">
        <f>VLOOKUP("&lt;SpaltenTitel_1.1&gt;",Uebersetzungen!$B$3:$E$32,Uebersetzungen!$B$2+1,FALSE)</f>
        <v>Anzahl Personen</v>
      </c>
      <c r="P14" s="61" t="str">
        <f>VLOOKUP("&lt;SpaltenTitel_1.2&gt;",Uebersetzungen!$B$3:$E$32,Uebersetzungen!$B$2+1,FALSE)</f>
        <v>Vertrauens- intervall: 
± (in %)</v>
      </c>
    </row>
    <row r="15" spans="1:17" ht="14.25" customHeight="1" x14ac:dyDescent="0.2">
      <c r="A15" s="30" t="str">
        <f>VLOOKUP("&lt;T2Zeilentitel_1&gt;",Uebersetzungen!$B$3:$E$105,Uebersetzungen!$B$2+1,FALSE)</f>
        <v>Total</v>
      </c>
      <c r="B15" s="52"/>
      <c r="C15" s="64">
        <v>174610.99999999691</v>
      </c>
      <c r="D15" s="70">
        <v>0.33944767742202053</v>
      </c>
      <c r="E15" s="71">
        <v>129933.75126326525</v>
      </c>
      <c r="F15" s="67">
        <v>1.607903399368275</v>
      </c>
      <c r="G15" s="64">
        <v>2132.0486762813607</v>
      </c>
      <c r="H15" s="70">
        <v>24.47953450686499</v>
      </c>
      <c r="I15" s="71">
        <v>22284.398399123646</v>
      </c>
      <c r="J15" s="67">
        <v>7.2388362482948052</v>
      </c>
      <c r="K15" s="64">
        <v>23103.957241636068</v>
      </c>
      <c r="L15" s="70">
        <v>6.9728602711780274</v>
      </c>
      <c r="M15" s="71">
        <v>6683.5398062027989</v>
      </c>
      <c r="N15" s="67">
        <v>14.357561100472806</v>
      </c>
      <c r="O15" s="71">
        <v>23073.031638341945</v>
      </c>
      <c r="P15" s="82">
        <v>7.4997242966289184</v>
      </c>
    </row>
    <row r="16" spans="1:17" x14ac:dyDescent="0.2">
      <c r="A16" s="31" t="str">
        <f>VLOOKUP("&lt;T2Zeilentitel_2&gt;",Uebersetzungen!$B$3:$E$105,Uebersetzungen!$B$2+1,FALSE)</f>
        <v>Geschlecht</v>
      </c>
      <c r="B16" s="53" t="str">
        <f>VLOOKUP("&lt;T2Zeilentitel_2.1&gt;",Uebersetzungen!$B$3:$E$105,Uebersetzungen!$B$2+1,FALSE)</f>
        <v>Männer</v>
      </c>
      <c r="C16" s="91">
        <v>87537.999999998283</v>
      </c>
      <c r="D16" s="92">
        <v>2.8416627271316957</v>
      </c>
      <c r="E16" s="93">
        <v>63654.643576861781</v>
      </c>
      <c r="F16" s="94">
        <v>3.6928226672155313</v>
      </c>
      <c r="G16" s="95">
        <v>861.40716715039639</v>
      </c>
      <c r="H16" s="96">
        <v>38.702672447018294</v>
      </c>
      <c r="I16" s="93">
        <v>11713.294112945267</v>
      </c>
      <c r="J16" s="94">
        <v>10.459686718809355</v>
      </c>
      <c r="K16" s="91">
        <v>12166.446026044419</v>
      </c>
      <c r="L16" s="92">
        <v>10.057451918885397</v>
      </c>
      <c r="M16" s="93">
        <v>3860.1661149397596</v>
      </c>
      <c r="N16" s="94">
        <v>19.30783724872267</v>
      </c>
      <c r="O16" s="93">
        <v>11558.715978577928</v>
      </c>
      <c r="P16" s="97">
        <v>11.196868286950398</v>
      </c>
    </row>
    <row r="17" spans="1:16" x14ac:dyDescent="0.2">
      <c r="A17" s="32"/>
      <c r="B17" s="54" t="str">
        <f>VLOOKUP("&lt;T2Zeilentitel_2.2&gt;",Uebersetzungen!$B$3:$E$105,Uebersetzungen!$B$2+1,FALSE)</f>
        <v>Frauen</v>
      </c>
      <c r="C17" s="98">
        <v>87072.999999998618</v>
      </c>
      <c r="D17" s="99">
        <v>2.7106627575431776</v>
      </c>
      <c r="E17" s="100">
        <v>66279.107686403469</v>
      </c>
      <c r="F17" s="101">
        <v>3.4250467689267703</v>
      </c>
      <c r="G17" s="102">
        <v>1270.6415091309641</v>
      </c>
      <c r="H17" s="103">
        <v>31.762870432741799</v>
      </c>
      <c r="I17" s="100">
        <v>10571.104286178379</v>
      </c>
      <c r="J17" s="101">
        <v>10.729427975223008</v>
      </c>
      <c r="K17" s="98">
        <v>10937.511215591647</v>
      </c>
      <c r="L17" s="99">
        <v>10.4132731279353</v>
      </c>
      <c r="M17" s="100">
        <v>2823.3736912630393</v>
      </c>
      <c r="N17" s="101">
        <v>21.880463903076272</v>
      </c>
      <c r="O17" s="100">
        <v>11514.315659764017</v>
      </c>
      <c r="P17" s="104">
        <v>10.702191013885358</v>
      </c>
    </row>
    <row r="18" spans="1:16" x14ac:dyDescent="0.2">
      <c r="A18" s="33" t="str">
        <f>VLOOKUP("&lt;T2Zeilentitel_3&gt;",Uebersetzungen!$B$3:$E$105,Uebersetzungen!$B$2+1,FALSE)</f>
        <v>Alter</v>
      </c>
      <c r="B18" s="26" t="str">
        <f>VLOOKUP("&lt;T2Zeilentitel_3.1&gt;",Uebersetzungen!$B$3:$E$105,Uebersetzungen!$B$2+1,FALSE)</f>
        <v>15-24</v>
      </c>
      <c r="C18" s="65">
        <v>18796.999999999982</v>
      </c>
      <c r="D18" s="72">
        <v>8.3769939210268003</v>
      </c>
      <c r="E18" s="73">
        <v>14691.946999406069</v>
      </c>
      <c r="F18" s="68">
        <v>9.5390916158995953</v>
      </c>
      <c r="G18" s="65" t="s">
        <v>340</v>
      </c>
      <c r="H18" s="72" t="s">
        <v>340</v>
      </c>
      <c r="I18" s="73">
        <v>2038.3466312195874</v>
      </c>
      <c r="J18" s="68">
        <v>26.114909247692381</v>
      </c>
      <c r="K18" s="65">
        <v>2113.2178657180284</v>
      </c>
      <c r="L18" s="72">
        <v>25.766025174394848</v>
      </c>
      <c r="M18" s="81">
        <v>1523.5099930948738</v>
      </c>
      <c r="N18" s="78">
        <v>31.446947986565071</v>
      </c>
      <c r="O18" s="73">
        <v>2764.3376354909087</v>
      </c>
      <c r="P18" s="83">
        <v>24.2458762307588</v>
      </c>
    </row>
    <row r="19" spans="1:16" x14ac:dyDescent="0.2">
      <c r="A19" s="34"/>
      <c r="B19" s="55" t="str">
        <f>VLOOKUP("&lt;T2Zeilentitel_3.2&gt;",Uebersetzungen!$B$3:$E$105,Uebersetzungen!$B$2+1,FALSE)</f>
        <v>25-44</v>
      </c>
      <c r="C19" s="65">
        <v>51462.999999999032</v>
      </c>
      <c r="D19" s="72">
        <v>4.4448967572291966</v>
      </c>
      <c r="E19" s="73">
        <v>37163.041728745753</v>
      </c>
      <c r="F19" s="68">
        <v>5.4278178757842044</v>
      </c>
      <c r="G19" s="76">
        <v>395.24118311621169</v>
      </c>
      <c r="H19" s="79">
        <v>58.519802607781486</v>
      </c>
      <c r="I19" s="73">
        <v>6022.2797990099953</v>
      </c>
      <c r="J19" s="68">
        <v>15.242925084139687</v>
      </c>
      <c r="K19" s="65">
        <v>5751.8926351323962</v>
      </c>
      <c r="L19" s="72">
        <v>15.134855250141701</v>
      </c>
      <c r="M19" s="73">
        <v>2549.7116626966213</v>
      </c>
      <c r="N19" s="68">
        <v>24.018822051843809</v>
      </c>
      <c r="O19" s="73">
        <v>9280.2909439860614</v>
      </c>
      <c r="P19" s="83">
        <v>12.592518473103954</v>
      </c>
    </row>
    <row r="20" spans="1:16" x14ac:dyDescent="0.2">
      <c r="A20" s="35"/>
      <c r="B20" s="55" t="str">
        <f>VLOOKUP("&lt;T2Zeilentitel_3.3&gt;",Uebersetzungen!$B$3:$E$105,Uebersetzungen!$B$2+1,FALSE)</f>
        <v>45-64</v>
      </c>
      <c r="C20" s="65">
        <v>59159.999999999352</v>
      </c>
      <c r="D20" s="72">
        <v>3.741696772099647</v>
      </c>
      <c r="E20" s="73">
        <v>43133.275203481942</v>
      </c>
      <c r="F20" s="68">
        <v>4.6377714729758397</v>
      </c>
      <c r="G20" s="76">
        <v>692.58070525930771</v>
      </c>
      <c r="H20" s="79">
        <v>42.209606180494433</v>
      </c>
      <c r="I20" s="73">
        <v>7644.2117009418744</v>
      </c>
      <c r="J20" s="68">
        <v>12.693561514944244</v>
      </c>
      <c r="K20" s="65">
        <v>7239.887790626698</v>
      </c>
      <c r="L20" s="72">
        <v>12.914142251563781</v>
      </c>
      <c r="M20" s="73">
        <v>1828.7535291405957</v>
      </c>
      <c r="N20" s="68">
        <v>26.842288664072953</v>
      </c>
      <c r="O20" s="73">
        <v>9285.6376517391618</v>
      </c>
      <c r="P20" s="83">
        <v>11.828973930754334</v>
      </c>
    </row>
    <row r="21" spans="1:16" x14ac:dyDescent="0.2">
      <c r="A21" s="35"/>
      <c r="B21" s="55" t="str">
        <f>VLOOKUP("&lt;T2Zeilentitel_3.4&gt;",Uebersetzungen!$B$3:$E$105,Uebersetzungen!$B$2+1,FALSE)</f>
        <v>65 und älter</v>
      </c>
      <c r="C21" s="65">
        <v>45190.99999999888</v>
      </c>
      <c r="D21" s="72">
        <v>4.5137334996911402</v>
      </c>
      <c r="E21" s="73">
        <v>34945.487331631353</v>
      </c>
      <c r="F21" s="68">
        <v>5.3247570742388897</v>
      </c>
      <c r="G21" s="76">
        <v>893.08563082714136</v>
      </c>
      <c r="H21" s="79">
        <v>37.850510148876054</v>
      </c>
      <c r="I21" s="73">
        <v>6579.5602679521771</v>
      </c>
      <c r="J21" s="68">
        <v>13.592914046731117</v>
      </c>
      <c r="K21" s="65">
        <v>7998.9589501589335</v>
      </c>
      <c r="L21" s="72">
        <v>12.192114893567213</v>
      </c>
      <c r="M21" s="80">
        <v>781.56462127070904</v>
      </c>
      <c r="N21" s="78">
        <v>40.2866295188145</v>
      </c>
      <c r="O21" s="81">
        <v>1742.7654071258221</v>
      </c>
      <c r="P21" s="84">
        <v>27.778769191068989</v>
      </c>
    </row>
    <row r="22" spans="1:16" x14ac:dyDescent="0.2">
      <c r="A22" s="31" t="str">
        <f>VLOOKUP("&lt;T2Zeilentitel_4&gt;",Uebersetzungen!$B$3:$E$105,Uebersetzungen!$B$2+1,FALSE)</f>
        <v>Staatsangehörigkeit</v>
      </c>
      <c r="B22" s="53" t="str">
        <f>VLOOKUP("&lt;T2Zeilentitel_4.1&gt;",Uebersetzungen!$B$3:$E$105,Uebersetzungen!$B$2+1,FALSE)</f>
        <v>Schweiz</v>
      </c>
      <c r="C22" s="91">
        <v>139295.99999999686</v>
      </c>
      <c r="D22" s="92">
        <v>1.3380059828042621</v>
      </c>
      <c r="E22" s="93">
        <v>114232.88212445361</v>
      </c>
      <c r="F22" s="94">
        <v>1.9517915442884921</v>
      </c>
      <c r="G22" s="91">
        <v>1754.1488098055077</v>
      </c>
      <c r="H22" s="92">
        <v>27.030444567018829</v>
      </c>
      <c r="I22" s="93">
        <v>14559.756073030283</v>
      </c>
      <c r="J22" s="94">
        <v>9.0132514919314524</v>
      </c>
      <c r="K22" s="91">
        <v>22631.988477971929</v>
      </c>
      <c r="L22" s="92">
        <v>7.0436012345563617</v>
      </c>
      <c r="M22" s="93">
        <v>3565.1566181552462</v>
      </c>
      <c r="N22" s="94">
        <v>19.469062216366215</v>
      </c>
      <c r="O22" s="93">
        <v>5292.2666766452539</v>
      </c>
      <c r="P22" s="97">
        <v>15.415164824313822</v>
      </c>
    </row>
    <row r="23" spans="1:16" x14ac:dyDescent="0.2">
      <c r="A23" s="33"/>
      <c r="B23" s="55" t="str">
        <f>VLOOKUP("&lt;T2Zeilentitel_4.2&gt;",Uebersetzungen!$B$3:$E$105,Uebersetzungen!$B$2+1,FALSE)</f>
        <v>EU und EFTA</v>
      </c>
      <c r="C23" s="65">
        <v>27958.370138491267</v>
      </c>
      <c r="D23" s="72">
        <v>6.6025354696032874</v>
      </c>
      <c r="E23" s="73">
        <v>12947.879668618776</v>
      </c>
      <c r="F23" s="68">
        <v>10.024776425784493</v>
      </c>
      <c r="G23" s="76">
        <v>306.27942253303513</v>
      </c>
      <c r="H23" s="79">
        <v>64.487531984281361</v>
      </c>
      <c r="I23" s="73">
        <v>7481.7092174376348</v>
      </c>
      <c r="J23" s="68">
        <v>13.454917096838749</v>
      </c>
      <c r="K23" s="76">
        <v>471.96876366415927</v>
      </c>
      <c r="L23" s="79">
        <v>56.118292391960985</v>
      </c>
      <c r="M23" s="73">
        <v>2204.9746775693588</v>
      </c>
      <c r="N23" s="68">
        <v>25.72986887110514</v>
      </c>
      <c r="O23" s="73">
        <v>12075.782769989177</v>
      </c>
      <c r="P23" s="83">
        <v>10.745019586636323</v>
      </c>
    </row>
    <row r="24" spans="1:16" x14ac:dyDescent="0.2">
      <c r="A24" s="33"/>
      <c r="B24" s="55" t="str">
        <f>VLOOKUP("&lt;T2Zeilentitel_4.3&gt;",Uebersetzungen!$B$3:$E$105,Uebersetzungen!$B$2+1,FALSE)</f>
        <v>Anderer europäischer Staat</v>
      </c>
      <c r="C24" s="65">
        <v>3796.6133258198633</v>
      </c>
      <c r="D24" s="72">
        <v>20.62741191471196</v>
      </c>
      <c r="E24" s="81">
        <v>1068.768219201688</v>
      </c>
      <c r="F24" s="78">
        <v>39.014760959668834</v>
      </c>
      <c r="G24" s="65" t="s">
        <v>340</v>
      </c>
      <c r="H24" s="72" t="s">
        <v>340</v>
      </c>
      <c r="I24" s="73" t="s">
        <v>340</v>
      </c>
      <c r="J24" s="68" t="s">
        <v>340</v>
      </c>
      <c r="K24" s="65" t="s">
        <v>340</v>
      </c>
      <c r="L24" s="72" t="s">
        <v>340</v>
      </c>
      <c r="M24" s="80">
        <v>350.81010818085872</v>
      </c>
      <c r="N24" s="78">
        <v>64.915495361031631</v>
      </c>
      <c r="O24" s="73">
        <v>3294.4833408641321</v>
      </c>
      <c r="P24" s="83">
        <v>22.214267009040039</v>
      </c>
    </row>
    <row r="25" spans="1:16" x14ac:dyDescent="0.2">
      <c r="A25" s="33"/>
      <c r="B25" s="55" t="str">
        <f>VLOOKUP("&lt;T2Zeilentitel_4.4&gt;",Uebersetzungen!$B$3:$E$105,Uebersetzungen!$B$2+1,FALSE)</f>
        <v>Andere Staaten</v>
      </c>
      <c r="C25" s="65">
        <v>3560.0165356888847</v>
      </c>
      <c r="D25" s="72">
        <v>20.772325995727456</v>
      </c>
      <c r="E25" s="81">
        <v>1684.2212509906956</v>
      </c>
      <c r="F25" s="78">
        <v>31.155170056148418</v>
      </c>
      <c r="G25" s="65" t="s">
        <v>340</v>
      </c>
      <c r="H25" s="72" t="s">
        <v>340</v>
      </c>
      <c r="I25" s="73" t="s">
        <v>340</v>
      </c>
      <c r="J25" s="68" t="s">
        <v>340</v>
      </c>
      <c r="K25" s="65" t="s">
        <v>340</v>
      </c>
      <c r="L25" s="72" t="s">
        <v>340</v>
      </c>
      <c r="M25" s="80">
        <v>562.59840229733447</v>
      </c>
      <c r="N25" s="78">
        <v>51.899767532437458</v>
      </c>
      <c r="O25" s="73">
        <v>2410.4988508433776</v>
      </c>
      <c r="P25" s="83">
        <v>25.076437477306172</v>
      </c>
    </row>
    <row r="26" spans="1:16" x14ac:dyDescent="0.2">
      <c r="A26" s="32"/>
      <c r="B26" s="55" t="str">
        <f>VLOOKUP("&lt;T2Zeilentitel_4.5&gt;",Uebersetzungen!$B$3:$E$105,Uebersetzungen!$B$2+1,FALSE)</f>
        <v>Staatsangehörigkeit unbekannt</v>
      </c>
      <c r="C26" s="98" t="s">
        <v>340</v>
      </c>
      <c r="D26" s="99" t="s">
        <v>340</v>
      </c>
      <c r="E26" s="100" t="s">
        <v>340</v>
      </c>
      <c r="F26" s="101" t="s">
        <v>340</v>
      </c>
      <c r="G26" s="98" t="s">
        <v>340</v>
      </c>
      <c r="H26" s="99" t="s">
        <v>340</v>
      </c>
      <c r="I26" s="100" t="s">
        <v>340</v>
      </c>
      <c r="J26" s="101" t="s">
        <v>340</v>
      </c>
      <c r="K26" s="98" t="s">
        <v>340</v>
      </c>
      <c r="L26" s="99" t="s">
        <v>340</v>
      </c>
      <c r="M26" s="100" t="s">
        <v>340</v>
      </c>
      <c r="N26" s="101" t="s">
        <v>340</v>
      </c>
      <c r="O26" s="100" t="s">
        <v>340</v>
      </c>
      <c r="P26" s="104" t="s">
        <v>340</v>
      </c>
    </row>
    <row r="27" spans="1:16" x14ac:dyDescent="0.2">
      <c r="A27" s="31" t="str">
        <f>VLOOKUP("&lt;T2Zeilentitel_5&gt;",Uebersetzungen!$B$3:$E$105,Uebersetzungen!$B$2+1,FALSE)</f>
        <v>Migrationsstatus</v>
      </c>
      <c r="B27" s="53" t="str">
        <f>VLOOKUP("&lt;T2Zeilentitel_5.1&gt;",Uebersetzungen!$B$3:$E$105,Uebersetzungen!$B$2+1,FALSE)</f>
        <v>Schweizer/innen ohne Migrationshintergrund</v>
      </c>
      <c r="C27" s="65">
        <v>120977.06466215999</v>
      </c>
      <c r="D27" s="72">
        <v>1.7908926997663919</v>
      </c>
      <c r="E27" s="73">
        <v>101027.41273303506</v>
      </c>
      <c r="F27" s="68">
        <v>2.3018957044238579</v>
      </c>
      <c r="G27" s="77">
        <v>1322.5295149119074</v>
      </c>
      <c r="H27" s="79">
        <v>31.376461879092101</v>
      </c>
      <c r="I27" s="73">
        <v>10752.690416617097</v>
      </c>
      <c r="J27" s="68">
        <v>10.630132313869705</v>
      </c>
      <c r="K27" s="65">
        <v>22268.47172571738</v>
      </c>
      <c r="L27" s="72">
        <v>7.1123827931414754</v>
      </c>
      <c r="M27" s="73">
        <v>2535.9996444580293</v>
      </c>
      <c r="N27" s="68">
        <v>23.284715487893749</v>
      </c>
      <c r="O27" s="80">
        <v>558.66349224562146</v>
      </c>
      <c r="P27" s="84">
        <v>48.427130611328849</v>
      </c>
    </row>
    <row r="28" spans="1:16" x14ac:dyDescent="0.2">
      <c r="A28" s="33"/>
      <c r="B28" s="55" t="str">
        <f>VLOOKUP("&lt;T2Zeilentitel_5.2&gt;",Uebersetzungen!$B$3:$E$105,Uebersetzungen!$B$2+1,FALSE)</f>
        <v>Schweizer/innen mit Migrationshintergrund</v>
      </c>
      <c r="C28" s="65">
        <v>17229.463930897578</v>
      </c>
      <c r="D28" s="72">
        <v>8.1676596389216289</v>
      </c>
      <c r="E28" s="73">
        <v>12235.708231344623</v>
      </c>
      <c r="F28" s="68">
        <v>9.8477686057666922</v>
      </c>
      <c r="G28" s="76">
        <v>431.61929489360017</v>
      </c>
      <c r="H28" s="79">
        <v>53.580161911865837</v>
      </c>
      <c r="I28" s="73">
        <v>3708.3841285027829</v>
      </c>
      <c r="J28" s="68">
        <v>18.394857343927683</v>
      </c>
      <c r="K28" s="76">
        <v>264.47850713998747</v>
      </c>
      <c r="L28" s="79">
        <v>68.291105748580861</v>
      </c>
      <c r="M28" s="80">
        <v>958.62762597282858</v>
      </c>
      <c r="N28" s="78">
        <v>37.293938034073747</v>
      </c>
      <c r="O28" s="73">
        <v>4679.7203952690752</v>
      </c>
      <c r="P28" s="83">
        <v>16.355922546896597</v>
      </c>
    </row>
    <row r="29" spans="1:16" x14ac:dyDescent="0.2">
      <c r="A29" s="33"/>
      <c r="B29" s="55" t="str">
        <f>VLOOKUP("&lt;T2Zeilentitel_5.3&gt;",Uebersetzungen!$B$3:$E$105,Uebersetzungen!$B$2+1,FALSE)</f>
        <v>Ausländer/innen der ersten Generation</v>
      </c>
      <c r="C29" s="65">
        <v>33029.912874495312</v>
      </c>
      <c r="D29" s="72">
        <v>6.0597300136581715</v>
      </c>
      <c r="E29" s="73">
        <v>14149.436900760895</v>
      </c>
      <c r="F29" s="68">
        <v>9.6820583248942196</v>
      </c>
      <c r="G29" s="76">
        <v>341.03086603519353</v>
      </c>
      <c r="H29" s="79">
        <v>61.166032989965757</v>
      </c>
      <c r="I29" s="73">
        <v>7426.2703997601493</v>
      </c>
      <c r="J29" s="68">
        <v>13.523451519957389</v>
      </c>
      <c r="K29" s="76">
        <v>357.13051595028679</v>
      </c>
      <c r="L29" s="79">
        <v>64.938610971382673</v>
      </c>
      <c r="M29" s="73">
        <v>2953.5422082529922</v>
      </c>
      <c r="N29" s="68">
        <v>22.213378465229244</v>
      </c>
      <c r="O29" s="73">
        <v>16798.907597909045</v>
      </c>
      <c r="P29" s="83">
        <v>9.0969941213342604</v>
      </c>
    </row>
    <row r="30" spans="1:16" ht="25.5" x14ac:dyDescent="0.2">
      <c r="A30" s="33"/>
      <c r="B30" s="55" t="str">
        <f>VLOOKUP("&lt;T2Zeilentitel_5.4&gt;",Uebersetzungen!$B$3:$E$105,Uebersetzungen!$B$2+1,FALSE)</f>
        <v>Ausländer/innen der zweiten und höheren Generation</v>
      </c>
      <c r="C30" s="65">
        <v>2242.1687357672199</v>
      </c>
      <c r="D30" s="72">
        <v>25.999294713757738</v>
      </c>
      <c r="E30" s="81">
        <v>1551.432238050267</v>
      </c>
      <c r="F30" s="78">
        <v>31.181789262702591</v>
      </c>
      <c r="G30" s="65" t="s">
        <v>340</v>
      </c>
      <c r="H30" s="72" t="s">
        <v>340</v>
      </c>
      <c r="I30" s="80">
        <v>298.37192633320745</v>
      </c>
      <c r="J30" s="78">
        <v>69.565642125551449</v>
      </c>
      <c r="K30" s="65" t="s">
        <v>340</v>
      </c>
      <c r="L30" s="72" t="s">
        <v>340</v>
      </c>
      <c r="M30" s="73" t="s">
        <v>340</v>
      </c>
      <c r="N30" s="68" t="s">
        <v>340</v>
      </c>
      <c r="O30" s="80">
        <v>938.93897405020607</v>
      </c>
      <c r="P30" s="84">
        <v>41.536648292807214</v>
      </c>
    </row>
    <row r="31" spans="1:16" x14ac:dyDescent="0.2">
      <c r="A31" s="32"/>
      <c r="B31" s="55" t="str">
        <f>VLOOKUP("&lt;T2Zeilentitel_5.5&gt;",Uebersetzungen!$B$3:$E$105,Uebersetzungen!$B$2+1,FALSE)</f>
        <v>Migrationshintergrund unbekannt</v>
      </c>
      <c r="C31" s="77">
        <v>1132.389796676722</v>
      </c>
      <c r="D31" s="79">
        <v>34.31028951458643</v>
      </c>
      <c r="E31" s="80">
        <v>969.76116007403175</v>
      </c>
      <c r="F31" s="78">
        <v>36.514993398787837</v>
      </c>
      <c r="G31" s="65" t="s">
        <v>340</v>
      </c>
      <c r="H31" s="72" t="s">
        <v>340</v>
      </c>
      <c r="I31" s="73" t="s">
        <v>340</v>
      </c>
      <c r="J31" s="68" t="s">
        <v>340</v>
      </c>
      <c r="K31" s="65" t="s">
        <v>340</v>
      </c>
      <c r="L31" s="72" t="s">
        <v>340</v>
      </c>
      <c r="M31" s="73" t="s">
        <v>340</v>
      </c>
      <c r="N31" s="68" t="s">
        <v>340</v>
      </c>
      <c r="O31" s="73" t="s">
        <v>340</v>
      </c>
      <c r="P31" s="83" t="s">
        <v>340</v>
      </c>
    </row>
    <row r="32" spans="1:16" x14ac:dyDescent="0.2">
      <c r="A32" s="31" t="str">
        <f>VLOOKUP("&lt;T2Zeilentitel_6&gt;",Uebersetzungen!$B$3:$E$105,Uebersetzungen!$B$2+1,FALSE)</f>
        <v>Arbeitsmarktstatus</v>
      </c>
      <c r="B32" s="53" t="str">
        <f>VLOOKUP("&lt;T2Zeilentitel_6.1&gt;",Uebersetzungen!$B$3:$E$105,Uebersetzungen!$B$2+1,FALSE)</f>
        <v>Erwerbstätige</v>
      </c>
      <c r="C32" s="91">
        <v>106960.13753694596</v>
      </c>
      <c r="D32" s="92">
        <v>2.2331374480020294</v>
      </c>
      <c r="E32" s="93">
        <v>79476.39276170198</v>
      </c>
      <c r="F32" s="94">
        <v>3.0044741927258785</v>
      </c>
      <c r="G32" s="95">
        <v>901.13975051320392</v>
      </c>
      <c r="H32" s="96">
        <v>37.212693313899202</v>
      </c>
      <c r="I32" s="93">
        <v>12885.099178022938</v>
      </c>
      <c r="J32" s="94">
        <v>9.8777719221482485</v>
      </c>
      <c r="K32" s="91">
        <v>12673.064135601337</v>
      </c>
      <c r="L32" s="92">
        <v>9.7984926640000687</v>
      </c>
      <c r="M32" s="93">
        <v>3864.0075561066583</v>
      </c>
      <c r="N32" s="94">
        <v>19.026756404528378</v>
      </c>
      <c r="O32" s="93">
        <v>16226.259928700914</v>
      </c>
      <c r="P32" s="97">
        <v>9.0899265703561056</v>
      </c>
    </row>
    <row r="33" spans="1:16" x14ac:dyDescent="0.2">
      <c r="A33" s="33"/>
      <c r="B33" s="55" t="str">
        <f>VLOOKUP("&lt;T2Zeilentitel_6.2&gt;",Uebersetzungen!$B$3:$E$105,Uebersetzungen!$B$2+1,FALSE)</f>
        <v>Erwerbslose</v>
      </c>
      <c r="C33" s="65">
        <v>2294.1767169753762</v>
      </c>
      <c r="D33" s="72">
        <v>25.854640307180482</v>
      </c>
      <c r="E33" s="81">
        <v>1264.0578630883822</v>
      </c>
      <c r="F33" s="78">
        <v>34.355654076803063</v>
      </c>
      <c r="G33" s="65" t="s">
        <v>340</v>
      </c>
      <c r="H33" s="72" t="s">
        <v>340</v>
      </c>
      <c r="I33" s="80">
        <v>354.18635469889091</v>
      </c>
      <c r="J33" s="78">
        <v>65.788310446300045</v>
      </c>
      <c r="K33" s="65" t="s">
        <v>340</v>
      </c>
      <c r="L33" s="72" t="s">
        <v>340</v>
      </c>
      <c r="M33" s="80">
        <v>261.10140512057939</v>
      </c>
      <c r="N33" s="78">
        <v>78.951238731626802</v>
      </c>
      <c r="O33" s="80">
        <v>818.50035748921573</v>
      </c>
      <c r="P33" s="84">
        <v>44.996813738743604</v>
      </c>
    </row>
    <row r="34" spans="1:16" x14ac:dyDescent="0.2">
      <c r="A34" s="32"/>
      <c r="B34" s="55" t="str">
        <f>VLOOKUP("&lt;T2Zeilentitel_6.3&gt;",Uebersetzungen!$B$3:$E$105,Uebersetzungen!$B$2+1,FALSE)</f>
        <v>Nichterwerbspersonen</v>
      </c>
      <c r="C34" s="98">
        <v>65356.685746075993</v>
      </c>
      <c r="D34" s="99">
        <v>3.5383544715876383</v>
      </c>
      <c r="E34" s="100">
        <v>49193.300638474902</v>
      </c>
      <c r="F34" s="101">
        <v>4.345166001031421</v>
      </c>
      <c r="G34" s="102">
        <v>1149.2633852892045</v>
      </c>
      <c r="H34" s="103">
        <v>33.612061487225525</v>
      </c>
      <c r="I34" s="100">
        <v>9045.1128664018161</v>
      </c>
      <c r="J34" s="101">
        <v>11.668997191611927</v>
      </c>
      <c r="K34" s="98">
        <v>10326.825576588913</v>
      </c>
      <c r="L34" s="99">
        <v>10.779559779931599</v>
      </c>
      <c r="M34" s="100">
        <v>2558.4308449755613</v>
      </c>
      <c r="N34" s="101">
        <v>23.292282420379824</v>
      </c>
      <c r="O34" s="100">
        <v>6028.2713521518053</v>
      </c>
      <c r="P34" s="104">
        <v>15.355320259932052</v>
      </c>
    </row>
    <row r="35" spans="1:16" x14ac:dyDescent="0.2">
      <c r="A35" s="33" t="str">
        <f>VLOOKUP("&lt;T2Zeilentitel_7&gt;",Uebersetzungen!$B$3:$E$105,Uebersetzungen!$B$2+1,FALSE)</f>
        <v>Sozioprofessionelle Kategorien</v>
      </c>
      <c r="B35" s="53" t="str">
        <f>VLOOKUP("&lt;T2Zeilentitel_7.1&gt;",Uebersetzungen!$B$3:$E$105,Uebersetzungen!$B$2+1,FALSE)</f>
        <v>Oberstes Management</v>
      </c>
      <c r="C35" s="65">
        <v>2692.4614986601086</v>
      </c>
      <c r="D35" s="72">
        <v>21.746551361625539</v>
      </c>
      <c r="E35" s="73">
        <v>1981.6714640537441</v>
      </c>
      <c r="F35" s="68">
        <v>25.12453136228055</v>
      </c>
      <c r="G35" s="65" t="s">
        <v>340</v>
      </c>
      <c r="H35" s="72" t="s">
        <v>340</v>
      </c>
      <c r="I35" s="80">
        <v>403.28438404633522</v>
      </c>
      <c r="J35" s="78">
        <v>56.143827960758522</v>
      </c>
      <c r="K35" s="76">
        <v>263.14335210625524</v>
      </c>
      <c r="L35" s="79">
        <v>68.299613581604135</v>
      </c>
      <c r="M35" s="73" t="s">
        <v>340</v>
      </c>
      <c r="N35" s="68" t="s">
        <v>340</v>
      </c>
      <c r="O35" s="80">
        <v>427.71018360740896</v>
      </c>
      <c r="P35" s="84">
        <v>59.285453475989868</v>
      </c>
    </row>
    <row r="36" spans="1:16" x14ac:dyDescent="0.2">
      <c r="A36" s="34"/>
      <c r="B36" s="55" t="str">
        <f>VLOOKUP("&lt;T2Zeilentitel_7.2&gt;",Uebersetzungen!$B$3:$E$105,Uebersetzungen!$B$2+1,FALSE)</f>
        <v>Freie und gleichgestellte Berufe</v>
      </c>
      <c r="C36" s="65">
        <v>2805.8072395718664</v>
      </c>
      <c r="D36" s="72">
        <v>21.179835407272375</v>
      </c>
      <c r="E36" s="73">
        <v>1949.9018879010798</v>
      </c>
      <c r="F36" s="68">
        <v>25.354759526793348</v>
      </c>
      <c r="G36" s="65" t="s">
        <v>340</v>
      </c>
      <c r="H36" s="72" t="s">
        <v>340</v>
      </c>
      <c r="I36" s="80">
        <v>507.01696035054584</v>
      </c>
      <c r="J36" s="78">
        <v>50.681438996215682</v>
      </c>
      <c r="K36" s="76">
        <v>373.51940866407824</v>
      </c>
      <c r="L36" s="79">
        <v>58.430378268023169</v>
      </c>
      <c r="M36" s="80">
        <v>256.23703802835195</v>
      </c>
      <c r="N36" s="78">
        <v>73.125453316383485</v>
      </c>
      <c r="O36" s="73" t="s">
        <v>340</v>
      </c>
      <c r="P36" s="83" t="s">
        <v>340</v>
      </c>
    </row>
    <row r="37" spans="1:16" x14ac:dyDescent="0.2">
      <c r="A37" s="35"/>
      <c r="B37" s="55" t="str">
        <f>VLOOKUP("&lt;T2Zeilentitel_7.3&gt;",Uebersetzungen!$B$3:$E$105,Uebersetzungen!$B$2+1,FALSE)</f>
        <v>Andere Selbstständige</v>
      </c>
      <c r="C37" s="65">
        <v>12242.053867118348</v>
      </c>
      <c r="D37" s="72">
        <v>10.034434969579337</v>
      </c>
      <c r="E37" s="73">
        <v>9713.3304376730193</v>
      </c>
      <c r="F37" s="68">
        <v>11.276415976156871</v>
      </c>
      <c r="G37" s="65" t="s">
        <v>340</v>
      </c>
      <c r="H37" s="72" t="s">
        <v>340</v>
      </c>
      <c r="I37" s="81">
        <v>1322.0723570462201</v>
      </c>
      <c r="J37" s="78">
        <v>31.969838359262148</v>
      </c>
      <c r="K37" s="65">
        <v>2192.4932755415944</v>
      </c>
      <c r="L37" s="72">
        <v>24.471418155166926</v>
      </c>
      <c r="M37" s="73" t="s">
        <v>340</v>
      </c>
      <c r="N37" s="68" t="s">
        <v>340</v>
      </c>
      <c r="O37" s="80">
        <v>730.48285759623252</v>
      </c>
      <c r="P37" s="84">
        <v>44.530390719503238</v>
      </c>
    </row>
    <row r="38" spans="1:16" x14ac:dyDescent="0.2">
      <c r="A38" s="35"/>
      <c r="B38" s="55" t="str">
        <f>VLOOKUP("&lt;T2Zeilentitel_7.4&gt;",Uebersetzungen!$B$3:$E$105,Uebersetzungen!$B$2+1,FALSE)</f>
        <v>Akademische Berufe und oberes Kader</v>
      </c>
      <c r="C38" s="65">
        <v>16131.724467909726</v>
      </c>
      <c r="D38" s="72">
        <v>8.5165148068226362</v>
      </c>
      <c r="E38" s="73">
        <v>12871.029594738369</v>
      </c>
      <c r="F38" s="68">
        <v>9.590387139410117</v>
      </c>
      <c r="G38" s="65" t="s">
        <v>340</v>
      </c>
      <c r="H38" s="72" t="s">
        <v>340</v>
      </c>
      <c r="I38" s="81">
        <v>1658.4512741135356</v>
      </c>
      <c r="J38" s="78">
        <v>28.325144289001425</v>
      </c>
      <c r="K38" s="65">
        <v>1984.0715795344763</v>
      </c>
      <c r="L38" s="72">
        <v>25.419692295527291</v>
      </c>
      <c r="M38" s="80">
        <v>802.82339602899538</v>
      </c>
      <c r="N38" s="78">
        <v>40.392339771610757</v>
      </c>
      <c r="O38" s="81">
        <v>1028.9015527770894</v>
      </c>
      <c r="P38" s="84">
        <v>36.153665434700429</v>
      </c>
    </row>
    <row r="39" spans="1:16" x14ac:dyDescent="0.2">
      <c r="A39" s="35"/>
      <c r="B39" s="55" t="str">
        <f>VLOOKUP("&lt;T2Zeilentitel_7.5&gt;",Uebersetzungen!$B$3:$E$105,Uebersetzungen!$B$2+1,FALSE)</f>
        <v>Intermediäre Berufe</v>
      </c>
      <c r="C39" s="65">
        <v>32353.683494224042</v>
      </c>
      <c r="D39" s="72">
        <v>5.7730507066936791</v>
      </c>
      <c r="E39" s="73">
        <v>24591.883065739363</v>
      </c>
      <c r="F39" s="68">
        <v>6.7343543342415906</v>
      </c>
      <c r="G39" s="76">
        <v>166.37566422397879</v>
      </c>
      <c r="H39" s="79">
        <v>86.607848541135326</v>
      </c>
      <c r="I39" s="73">
        <v>3727.0652378581071</v>
      </c>
      <c r="J39" s="68">
        <v>18.760153950455749</v>
      </c>
      <c r="K39" s="65">
        <v>3495.0684301805486</v>
      </c>
      <c r="L39" s="72">
        <v>19.021471450327034</v>
      </c>
      <c r="M39" s="81">
        <v>1411.8768755557605</v>
      </c>
      <c r="N39" s="78">
        <v>31.976627073105739</v>
      </c>
      <c r="O39" s="73">
        <v>5066.2369348120801</v>
      </c>
      <c r="P39" s="83">
        <v>16.63114380525418</v>
      </c>
    </row>
    <row r="40" spans="1:16" x14ac:dyDescent="0.2">
      <c r="A40" s="35"/>
      <c r="B40" s="55" t="str">
        <f>VLOOKUP("&lt;T2Zeilentitel_7.6&gt;",Uebersetzungen!$B$3:$E$105,Uebersetzungen!$B$2+1,FALSE)</f>
        <v>Qualifizierte nichtmanuelle Berufe</v>
      </c>
      <c r="C40" s="65">
        <v>19713.229261553559</v>
      </c>
      <c r="D40" s="72">
        <v>7.7075461590373964</v>
      </c>
      <c r="E40" s="73">
        <v>15496.291824948592</v>
      </c>
      <c r="F40" s="68">
        <v>8.754294816776925</v>
      </c>
      <c r="G40" s="76">
        <v>170.81910594744949</v>
      </c>
      <c r="H40" s="79">
        <v>86.616798348278749</v>
      </c>
      <c r="I40" s="73">
        <v>2099.7904507227217</v>
      </c>
      <c r="J40" s="68">
        <v>24.925755806898554</v>
      </c>
      <c r="K40" s="65">
        <v>2155.6323555371755</v>
      </c>
      <c r="L40" s="72">
        <v>24.12379797891791</v>
      </c>
      <c r="M40" s="80">
        <v>481.79822533120426</v>
      </c>
      <c r="N40" s="78">
        <v>56.308385972233076</v>
      </c>
      <c r="O40" s="73">
        <v>2368.5043820152632</v>
      </c>
      <c r="P40" s="83">
        <v>24.681046823677971</v>
      </c>
    </row>
    <row r="41" spans="1:16" x14ac:dyDescent="0.2">
      <c r="A41" s="35"/>
      <c r="B41" s="55" t="str">
        <f>VLOOKUP("&lt;T2Zeilentitel_7.7&gt;",Uebersetzungen!$B$3:$E$105,Uebersetzungen!$B$2+1,FALSE)</f>
        <v>Qualifizierte manuelle Berufe</v>
      </c>
      <c r="C41" s="65">
        <v>10072.445541539711</v>
      </c>
      <c r="D41" s="72">
        <v>11.59324813236014</v>
      </c>
      <c r="E41" s="73">
        <v>7023.496563320009</v>
      </c>
      <c r="F41" s="68">
        <v>13.853735556493048</v>
      </c>
      <c r="G41" s="76">
        <v>175.97665461195209</v>
      </c>
      <c r="H41" s="79">
        <v>86.824413975388069</v>
      </c>
      <c r="I41" s="81">
        <v>1352.3190940887471</v>
      </c>
      <c r="J41" s="78">
        <v>32.761171843671299</v>
      </c>
      <c r="K41" s="77">
        <v>1118.0558476208817</v>
      </c>
      <c r="L41" s="79">
        <v>35.383289937031734</v>
      </c>
      <c r="M41" s="80">
        <v>235.50040278377236</v>
      </c>
      <c r="N41" s="78">
        <v>79.850323994019405</v>
      </c>
      <c r="O41" s="81">
        <v>1655.1926173550107</v>
      </c>
      <c r="P41" s="84">
        <v>30.679873006893455</v>
      </c>
    </row>
    <row r="42" spans="1:16" x14ac:dyDescent="0.2">
      <c r="A42" s="35"/>
      <c r="B42" s="55" t="str">
        <f>VLOOKUP("&lt;T2Zeilentitel_7.8&gt;",Uebersetzungen!$B$3:$E$105,Uebersetzungen!$B$2+1,FALSE)</f>
        <v>Ungelernte Angestellte und Arbeiter</v>
      </c>
      <c r="C42" s="65">
        <v>6821.9592610729978</v>
      </c>
      <c r="D42" s="72">
        <v>14.072757841029523</v>
      </c>
      <c r="E42" s="73">
        <v>2657.2062230280212</v>
      </c>
      <c r="F42" s="68">
        <v>22.581687134594443</v>
      </c>
      <c r="G42" s="65" t="s">
        <v>340</v>
      </c>
      <c r="H42" s="72" t="s">
        <v>340</v>
      </c>
      <c r="I42" s="81">
        <v>1526.3271319613643</v>
      </c>
      <c r="J42" s="78">
        <v>29.944280900645584</v>
      </c>
      <c r="K42" s="76">
        <v>499.54055887709779</v>
      </c>
      <c r="L42" s="79">
        <v>52.008356991532807</v>
      </c>
      <c r="M42" s="73" t="s">
        <v>340</v>
      </c>
      <c r="N42" s="68" t="s">
        <v>340</v>
      </c>
      <c r="O42" s="73">
        <v>3881.7014458217272</v>
      </c>
      <c r="P42" s="83">
        <v>19.084886063217958</v>
      </c>
    </row>
    <row r="43" spans="1:16" ht="25.5" customHeight="1" x14ac:dyDescent="0.2">
      <c r="A43" s="35"/>
      <c r="B43" s="55" t="str">
        <f>VLOOKUP("&lt;T2Zeilentitel_7.9&gt;",Uebersetzungen!$B$3:$E$105,Uebersetzungen!$B$2+1,FALSE)</f>
        <v>Lernende in dualer beruflicher Grundbildung (Lehrlinge)</v>
      </c>
      <c r="C43" s="65">
        <v>2736.194236532895</v>
      </c>
      <c r="D43" s="72">
        <v>22.595748930549551</v>
      </c>
      <c r="E43" s="73">
        <v>2189.6537780425715</v>
      </c>
      <c r="F43" s="68">
        <v>25.157488169183626</v>
      </c>
      <c r="G43" s="65" t="s">
        <v>340</v>
      </c>
      <c r="H43" s="72" t="s">
        <v>340</v>
      </c>
      <c r="I43" s="80">
        <v>181.5185497926627</v>
      </c>
      <c r="J43" s="78">
        <v>86.46625709379208</v>
      </c>
      <c r="K43" s="76">
        <v>381.58511857550099</v>
      </c>
      <c r="L43" s="79">
        <v>61.620103747049932</v>
      </c>
      <c r="M43" s="73" t="s">
        <v>340</v>
      </c>
      <c r="N43" s="68" t="s">
        <v>340</v>
      </c>
      <c r="O43" s="80">
        <v>418.91593438732741</v>
      </c>
      <c r="P43" s="84">
        <v>61.234762927133765</v>
      </c>
    </row>
    <row r="44" spans="1:16" ht="38.25" x14ac:dyDescent="0.2">
      <c r="A44" s="35"/>
      <c r="B44" s="55" t="str">
        <f>VLOOKUP("&lt;T2Zeilentitel_7.10&gt;",Uebersetzungen!$B$3:$E$105,Uebersetzungen!$B$2+1,FALSE)</f>
        <v>Nicht zuteilbare Erwerbstätige (fehlende oder unklare Basisdaten oder unplausible Kombination)</v>
      </c>
      <c r="C44" s="77">
        <v>1390.5786687626278</v>
      </c>
      <c r="D44" s="79">
        <v>32.063765901593513</v>
      </c>
      <c r="E44" s="81">
        <v>1001.9279222570631</v>
      </c>
      <c r="F44" s="78">
        <v>37.384648414611142</v>
      </c>
      <c r="G44" s="65" t="s">
        <v>340</v>
      </c>
      <c r="H44" s="72" t="s">
        <v>340</v>
      </c>
      <c r="I44" s="73" t="s">
        <v>340</v>
      </c>
      <c r="J44" s="68" t="s">
        <v>340</v>
      </c>
      <c r="K44" s="76">
        <v>209.95420896373113</v>
      </c>
      <c r="L44" s="79">
        <v>79.325558841211659</v>
      </c>
      <c r="M44" s="73" t="s">
        <v>340</v>
      </c>
      <c r="N44" s="68" t="s">
        <v>340</v>
      </c>
      <c r="O44" s="80">
        <v>548.57555465918233</v>
      </c>
      <c r="P44" s="84">
        <v>54.357568515264738</v>
      </c>
    </row>
    <row r="45" spans="1:16" x14ac:dyDescent="0.2">
      <c r="A45" s="35"/>
      <c r="B45" s="55" t="str">
        <f>VLOOKUP("&lt;T2Zeilentitel_7.11&gt;",Uebersetzungen!$B$3:$E$105,Uebersetzungen!$B$2+1,FALSE)</f>
        <v>Erwerbslose und Nichterwerbspersonen</v>
      </c>
      <c r="C45" s="65">
        <v>67650.862463051279</v>
      </c>
      <c r="D45" s="72">
        <v>3.4588483113999517</v>
      </c>
      <c r="E45" s="73">
        <v>50457.358501563314</v>
      </c>
      <c r="F45" s="68">
        <v>4.2803694477368124</v>
      </c>
      <c r="G45" s="77">
        <v>1230.9089257681565</v>
      </c>
      <c r="H45" s="79">
        <v>32.658804612862852</v>
      </c>
      <c r="I45" s="73">
        <v>9399.2992211007058</v>
      </c>
      <c r="J45" s="68">
        <v>11.476053109934348</v>
      </c>
      <c r="K45" s="65">
        <v>10430.893106034726</v>
      </c>
      <c r="L45" s="72">
        <v>10.723580901908875</v>
      </c>
      <c r="M45" s="73">
        <v>2819.5322500961406</v>
      </c>
      <c r="N45" s="68">
        <v>22.336026619641917</v>
      </c>
      <c r="O45" s="73">
        <v>6846.7717096410206</v>
      </c>
      <c r="P45" s="83">
        <v>14.496255693399268</v>
      </c>
    </row>
    <row r="46" spans="1:16" ht="12.75" customHeight="1" x14ac:dyDescent="0.2">
      <c r="A46" s="31" t="str">
        <f>VLOOKUP("&lt;T2Zeilentitel_8&gt;",Uebersetzungen!$B$3:$E$105,Uebersetzungen!$B$2+1,FALSE)</f>
        <v>Höchste abgeschlossene Ausbildung</v>
      </c>
      <c r="B46" s="53" t="str">
        <f>VLOOKUP("&lt;T2Zeilentitel_8.1&gt;",Uebersetzungen!$B$3:$E$105,Uebersetzungen!$B$2+1,FALSE)</f>
        <v>Ohne nachobligatorische Aubildung</v>
      </c>
      <c r="C46" s="91">
        <v>34830.749924816439</v>
      </c>
      <c r="D46" s="92">
        <v>5.6363231755720467</v>
      </c>
      <c r="E46" s="93">
        <v>18777.229661538222</v>
      </c>
      <c r="F46" s="94">
        <v>8.0087965359690063</v>
      </c>
      <c r="G46" s="95">
        <v>444.11957197221432</v>
      </c>
      <c r="H46" s="96">
        <v>53.628438247364151</v>
      </c>
      <c r="I46" s="93">
        <v>7226.6253854005818</v>
      </c>
      <c r="J46" s="94">
        <v>13.399625705988182</v>
      </c>
      <c r="K46" s="91">
        <v>4627.6649398602394</v>
      </c>
      <c r="L46" s="92">
        <v>16.60405185691306</v>
      </c>
      <c r="M46" s="105">
        <v>1542.8890851655858</v>
      </c>
      <c r="N46" s="106">
        <v>30.654516281695855</v>
      </c>
      <c r="O46" s="93">
        <v>10870.43121998379</v>
      </c>
      <c r="P46" s="97">
        <v>11.269741033662141</v>
      </c>
    </row>
    <row r="47" spans="1:16" x14ac:dyDescent="0.2">
      <c r="A47" s="35"/>
      <c r="B47" s="55" t="str">
        <f>VLOOKUP("&lt;T2Zeilentitel_8.2&gt;",Uebersetzungen!$B$3:$E$105,Uebersetzungen!$B$2+1,FALSE)</f>
        <v>Sekundarstufe II</v>
      </c>
      <c r="C47" s="65">
        <v>80390.820949427201</v>
      </c>
      <c r="D47" s="72">
        <v>3.0161514322530469</v>
      </c>
      <c r="E47" s="73">
        <v>63161.776859632977</v>
      </c>
      <c r="F47" s="68">
        <v>3.6622905599539224</v>
      </c>
      <c r="G47" s="76">
        <v>837.21764499424671</v>
      </c>
      <c r="H47" s="79">
        <v>39.531417703897546</v>
      </c>
      <c r="I47" s="73">
        <v>9905.3602284901281</v>
      </c>
      <c r="J47" s="68">
        <v>11.312769020733976</v>
      </c>
      <c r="K47" s="65">
        <v>11249.533345849601</v>
      </c>
      <c r="L47" s="72">
        <v>10.367507408888638</v>
      </c>
      <c r="M47" s="81">
        <v>1869.7790635434606</v>
      </c>
      <c r="N47" s="78">
        <v>28.028562644337097</v>
      </c>
      <c r="O47" s="73">
        <v>6953.6501634310562</v>
      </c>
      <c r="P47" s="83">
        <v>14.442938863799371</v>
      </c>
    </row>
    <row r="48" spans="1:16" ht="13.5" thickBot="1" x14ac:dyDescent="0.25">
      <c r="A48" s="36"/>
      <c r="B48" s="56" t="str">
        <f>VLOOKUP("&lt;T2Zeilentitel_8.3&gt;",Uebersetzungen!$B$3:$E$105,Uebersetzungen!$B$2+1,FALSE)</f>
        <v>Tertiärstufe</v>
      </c>
      <c r="C48" s="66">
        <v>59389.429125753471</v>
      </c>
      <c r="D48" s="74">
        <v>3.7837661322369573</v>
      </c>
      <c r="E48" s="75">
        <v>47994.74474209395</v>
      </c>
      <c r="F48" s="69">
        <v>4.3770032902519631</v>
      </c>
      <c r="G48" s="89">
        <v>850.71145931489934</v>
      </c>
      <c r="H48" s="90">
        <v>38.687533514061258</v>
      </c>
      <c r="I48" s="75">
        <v>5152.4127852329257</v>
      </c>
      <c r="J48" s="69">
        <v>15.624234381412718</v>
      </c>
      <c r="K48" s="66">
        <v>7226.7589559262224</v>
      </c>
      <c r="L48" s="74">
        <v>13.085874028296232</v>
      </c>
      <c r="M48" s="75">
        <v>3270.871657493753</v>
      </c>
      <c r="N48" s="69">
        <v>20.360136043162779</v>
      </c>
      <c r="O48" s="75">
        <v>5248.9502549271092</v>
      </c>
      <c r="P48" s="85">
        <v>16.366931400892838</v>
      </c>
    </row>
    <row r="49" spans="1:16" x14ac:dyDescent="0.2">
      <c r="A49" s="26"/>
      <c r="B49" s="19"/>
      <c r="C49" s="27"/>
      <c r="D49" s="28"/>
      <c r="E49" s="28"/>
      <c r="F49" s="28"/>
      <c r="G49" s="28"/>
      <c r="H49" s="28"/>
      <c r="I49" s="28"/>
      <c r="J49" s="28"/>
      <c r="K49" s="28"/>
      <c r="L49" s="28"/>
      <c r="M49" s="27"/>
      <c r="N49" s="28"/>
      <c r="O49" s="29"/>
      <c r="P49" s="28"/>
    </row>
    <row r="50" spans="1:16" x14ac:dyDescent="0.2">
      <c r="A50" s="14" t="str">
        <f>VLOOKUP("&lt;Legende_1&gt;",Uebersetzungen!$B$3:$E$54,Uebersetzungen!$B$2+1,FALSE)</f>
        <v>Die Befragten konnten mehrere Hauptsprachen nennen.</v>
      </c>
    </row>
    <row r="51" spans="1:16" x14ac:dyDescent="0.2">
      <c r="A51" s="14" t="str">
        <f>VLOOKUP("&lt;Legende_2&gt;",Uebersetzungen!$B$3:$E$54,Uebersetzungen!$B$2+1,FALSE)</f>
        <v>(): Extrapolation aufgrund von 49 oder weniger Beobachtungen. Die Resultate sind mit grosser Vorsicht zu interpretieren.</v>
      </c>
    </row>
    <row r="52" spans="1:16" x14ac:dyDescent="0.2">
      <c r="A52" s="14" t="str">
        <f>VLOOKUP("&lt;Legende_3&gt;",Uebersetzungen!$B$3:$E$54,Uebersetzungen!$B$2+1,FALSE)</f>
        <v>X: Extrapolation aufgrund von 4 oder weniger Beobachtungen. Die Resultate werden aus Gründen des Datenschutzes nicht publiziert.</v>
      </c>
    </row>
    <row r="53" spans="1:16" x14ac:dyDescent="0.2">
      <c r="A53" s="14" t="str">
        <f>VLOOKUP("&lt;Legende_4&gt;",Uebersetzungen!$B$3:$E$54,Uebersetzungen!$B$2+1,FALSE)</f>
        <v>Die Grundgesamtheit der Strukturerhebung enthält alle Personen der ständigen Wohnbevölkerung ab vollendetem 15. Altersjahr, die in Privathaushalten leben.</v>
      </c>
    </row>
    <row r="54" spans="1:16" x14ac:dyDescent="0.2">
      <c r="A54" s="7"/>
    </row>
    <row r="55" spans="1:16" x14ac:dyDescent="0.2">
      <c r="A55" s="7" t="str">
        <f>VLOOKUP("&lt;Quelle_1&gt;",Uebersetzungen!$B$3:$E$105,Uebersetzungen!$B$2+1,FALSE)</f>
        <v>Quelle: BFS (Strukturerhebung)</v>
      </c>
    </row>
    <row r="56" spans="1:16" x14ac:dyDescent="0.2">
      <c r="A56" s="6" t="str">
        <f>VLOOKUP("&lt;T2Aktualisierung&gt;",Uebersetzungen!$B$3:$E$105,Uebersetzungen!$B$2+1,FALSE)</f>
        <v>Letztmals aktualisiert am: 18.03.2024</v>
      </c>
    </row>
    <row r="57" spans="1:16" x14ac:dyDescent="0.2">
      <c r="B57" s="9"/>
      <c r="N57" s="9"/>
    </row>
    <row r="59" spans="1:16" x14ac:dyDescent="0.2">
      <c r="B59" s="10"/>
      <c r="N59" s="10"/>
    </row>
    <row r="60" spans="1:16" x14ac:dyDescent="0.2">
      <c r="N60" s="9"/>
      <c r="O60" s="9"/>
      <c r="P60" s="9"/>
    </row>
  </sheetData>
  <sheetProtection sheet="1" objects="1" scenarios="1"/>
  <mergeCells count="10">
    <mergeCell ref="A7:D7"/>
    <mergeCell ref="B13:B14"/>
    <mergeCell ref="C13:D13"/>
    <mergeCell ref="M13:N13"/>
    <mergeCell ref="O13:P13"/>
    <mergeCell ref="C12:P12"/>
    <mergeCell ref="E13:F13"/>
    <mergeCell ref="G13:H13"/>
    <mergeCell ref="I13:J13"/>
    <mergeCell ref="K13:L13"/>
  </mergeCells>
  <pageMargins left="0.7" right="0.7" top="0.78740157499999996" bottom="0.78740157499999996" header="0.3" footer="0.3"/>
  <pageSetup paperSize="9" scale="38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1</xdr:row>
                    <xdr:rowOff>123825</xdr:rowOff>
                  </from>
                  <to>
                    <xdr:col>4</xdr:col>
                    <xdr:colOff>609600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2</xdr:row>
                    <xdr:rowOff>114300</xdr:rowOff>
                  </from>
                  <to>
                    <xdr:col>5</xdr:col>
                    <xdr:colOff>276225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3</xdr:row>
                    <xdr:rowOff>76200</xdr:rowOff>
                  </from>
                  <to>
                    <xdr:col>4</xdr:col>
                    <xdr:colOff>609600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10" workbookViewId="0">
      <selection activeCell="H56" sqref="H56"/>
    </sheetView>
  </sheetViews>
  <sheetFormatPr baseColWidth="10" defaultColWidth="11" defaultRowHeight="12.75" x14ac:dyDescent="0.2"/>
  <cols>
    <col min="1" max="1" width="7.5" style="21" bestFit="1" customWidth="1"/>
    <col min="2" max="2" width="15.5" style="21" bestFit="1" customWidth="1"/>
    <col min="3" max="3" width="40.875" style="21" bestFit="1" customWidth="1"/>
    <col min="4" max="4" width="41.625" style="21" bestFit="1" customWidth="1"/>
    <col min="5" max="5" width="41.125" style="21" bestFit="1" customWidth="1"/>
    <col min="6" max="16384" width="11" style="21"/>
  </cols>
  <sheetData>
    <row r="1" spans="1:6" x14ac:dyDescent="0.2">
      <c r="A1" s="15" t="s">
        <v>56</v>
      </c>
      <c r="B1" s="15" t="s">
        <v>57</v>
      </c>
      <c r="C1" s="15" t="s">
        <v>58</v>
      </c>
      <c r="D1" s="15" t="s">
        <v>59</v>
      </c>
      <c r="E1" s="15" t="s">
        <v>60</v>
      </c>
      <c r="F1" s="16"/>
    </row>
    <row r="2" spans="1:6" x14ac:dyDescent="0.2">
      <c r="A2" s="22" t="s">
        <v>61</v>
      </c>
      <c r="B2" s="23">
        <v>1</v>
      </c>
      <c r="C2" s="16"/>
      <c r="D2" s="16"/>
      <c r="E2" s="16"/>
      <c r="F2" s="16"/>
    </row>
    <row r="3" spans="1:6" x14ac:dyDescent="0.2">
      <c r="A3" s="22"/>
      <c r="B3" s="21" t="s">
        <v>63</v>
      </c>
      <c r="C3" s="17" t="s">
        <v>64</v>
      </c>
      <c r="D3" s="17" t="s">
        <v>65</v>
      </c>
      <c r="E3" s="17" t="s">
        <v>66</v>
      </c>
      <c r="F3" s="16"/>
    </row>
    <row r="4" spans="1:6" ht="25.5" x14ac:dyDescent="0.2">
      <c r="A4" s="22" t="s">
        <v>62</v>
      </c>
      <c r="B4" s="18" t="s">
        <v>67</v>
      </c>
      <c r="C4" s="18" t="s">
        <v>255</v>
      </c>
      <c r="D4" s="18" t="s">
        <v>277</v>
      </c>
      <c r="E4" s="18" t="s">
        <v>278</v>
      </c>
      <c r="F4" s="16"/>
    </row>
    <row r="5" spans="1:6" x14ac:dyDescent="0.2">
      <c r="A5" s="22"/>
      <c r="B5" s="21" t="s">
        <v>84</v>
      </c>
      <c r="C5" s="40" t="s">
        <v>256</v>
      </c>
      <c r="D5" s="40" t="s">
        <v>257</v>
      </c>
      <c r="E5" s="40" t="s">
        <v>258</v>
      </c>
      <c r="F5" s="16"/>
    </row>
    <row r="6" spans="1:6" x14ac:dyDescent="0.2">
      <c r="A6" s="22"/>
      <c r="B6" s="22"/>
      <c r="C6" s="22"/>
      <c r="D6" s="22"/>
      <c r="E6" s="22"/>
      <c r="F6" s="16"/>
    </row>
    <row r="7" spans="1:6" ht="14.25" customHeight="1" x14ac:dyDescent="0.2">
      <c r="A7" s="22" t="s">
        <v>105</v>
      </c>
      <c r="B7" s="21" t="s">
        <v>68</v>
      </c>
      <c r="C7" s="17" t="s">
        <v>0</v>
      </c>
      <c r="D7" s="17" t="s">
        <v>0</v>
      </c>
      <c r="E7" s="17" t="s">
        <v>144</v>
      </c>
      <c r="F7" s="16"/>
    </row>
    <row r="8" spans="1:6" x14ac:dyDescent="0.2">
      <c r="A8" s="22"/>
      <c r="B8" s="21" t="s">
        <v>69</v>
      </c>
      <c r="C8" s="17" t="s">
        <v>259</v>
      </c>
      <c r="D8" s="17" t="s">
        <v>271</v>
      </c>
      <c r="E8" s="17" t="s">
        <v>265</v>
      </c>
      <c r="F8" s="16"/>
    </row>
    <row r="9" spans="1:6" x14ac:dyDescent="0.2">
      <c r="A9" s="22"/>
      <c r="B9" s="21" t="s">
        <v>70</v>
      </c>
      <c r="C9" s="17" t="s">
        <v>260</v>
      </c>
      <c r="D9" s="17" t="s">
        <v>272</v>
      </c>
      <c r="E9" s="17" t="s">
        <v>269</v>
      </c>
      <c r="F9" s="16"/>
    </row>
    <row r="10" spans="1:6" ht="25.5" x14ac:dyDescent="0.2">
      <c r="A10" s="22"/>
      <c r="B10" s="21" t="s">
        <v>234</v>
      </c>
      <c r="C10" s="17" t="s">
        <v>261</v>
      </c>
      <c r="D10" s="17" t="s">
        <v>273</v>
      </c>
      <c r="E10" s="17" t="s">
        <v>270</v>
      </c>
      <c r="F10" s="16"/>
    </row>
    <row r="11" spans="1:6" x14ac:dyDescent="0.2">
      <c r="A11" s="22"/>
      <c r="B11" s="21" t="s">
        <v>251</v>
      </c>
      <c r="C11" s="17" t="s">
        <v>262</v>
      </c>
      <c r="D11" s="17" t="s">
        <v>276</v>
      </c>
      <c r="E11" s="17" t="s">
        <v>266</v>
      </c>
      <c r="F11" s="16"/>
    </row>
    <row r="12" spans="1:6" x14ac:dyDescent="0.2">
      <c r="A12" s="22"/>
      <c r="B12" s="21" t="s">
        <v>252</v>
      </c>
      <c r="C12" s="17" t="s">
        <v>263</v>
      </c>
      <c r="D12" s="17" t="s">
        <v>275</v>
      </c>
      <c r="E12" s="17" t="s">
        <v>267</v>
      </c>
      <c r="F12" s="16"/>
    </row>
    <row r="13" spans="1:6" x14ac:dyDescent="0.2">
      <c r="A13" s="22"/>
      <c r="B13" s="21" t="s">
        <v>253</v>
      </c>
      <c r="C13" s="17" t="s">
        <v>264</v>
      </c>
      <c r="D13" s="17" t="s">
        <v>274</v>
      </c>
      <c r="E13" s="17" t="s">
        <v>268</v>
      </c>
      <c r="F13" s="16"/>
    </row>
    <row r="14" spans="1:6" x14ac:dyDescent="0.2">
      <c r="A14" s="22"/>
      <c r="B14" s="21" t="s">
        <v>254</v>
      </c>
      <c r="C14" s="17"/>
      <c r="D14" s="17"/>
      <c r="E14" s="17"/>
      <c r="F14" s="16"/>
    </row>
    <row r="15" spans="1:6" x14ac:dyDescent="0.2">
      <c r="A15" s="22"/>
      <c r="B15" s="22"/>
      <c r="C15" s="22"/>
      <c r="D15" s="22"/>
      <c r="E15" s="22"/>
      <c r="F15" s="22"/>
    </row>
    <row r="16" spans="1:6" x14ac:dyDescent="0.2">
      <c r="A16" s="22"/>
      <c r="B16" s="21" t="s">
        <v>116</v>
      </c>
      <c r="C16" s="17" t="s">
        <v>1</v>
      </c>
      <c r="D16" s="17" t="s">
        <v>232</v>
      </c>
      <c r="E16" s="17" t="s">
        <v>145</v>
      </c>
      <c r="F16" s="16"/>
    </row>
    <row r="17" spans="1:6" ht="25.5" x14ac:dyDescent="0.2">
      <c r="A17" s="22"/>
      <c r="B17" s="21" t="s">
        <v>117</v>
      </c>
      <c r="C17" s="17" t="s">
        <v>279</v>
      </c>
      <c r="D17" s="17" t="s">
        <v>280</v>
      </c>
      <c r="E17" s="17" t="s">
        <v>281</v>
      </c>
      <c r="F17" s="16"/>
    </row>
    <row r="18" spans="1:6" x14ac:dyDescent="0.2">
      <c r="A18" s="22"/>
      <c r="B18" s="16"/>
      <c r="C18" s="16"/>
      <c r="D18" s="16"/>
      <c r="E18" s="16"/>
      <c r="F18" s="16"/>
    </row>
    <row r="19" spans="1:6" x14ac:dyDescent="0.2">
      <c r="A19" s="22" t="s">
        <v>62</v>
      </c>
      <c r="B19" s="21" t="s">
        <v>71</v>
      </c>
      <c r="C19" s="17" t="s">
        <v>0</v>
      </c>
      <c r="D19" s="17" t="s">
        <v>0</v>
      </c>
      <c r="E19" s="17" t="s">
        <v>144</v>
      </c>
      <c r="F19" s="16"/>
    </row>
    <row r="20" spans="1:6" x14ac:dyDescent="0.2">
      <c r="A20" s="16"/>
      <c r="B20" s="21" t="s">
        <v>72</v>
      </c>
      <c r="C20" s="17" t="s">
        <v>2</v>
      </c>
      <c r="D20" s="17" t="s">
        <v>200</v>
      </c>
      <c r="E20" s="17" t="s">
        <v>147</v>
      </c>
      <c r="F20" s="16"/>
    </row>
    <row r="21" spans="1:6" x14ac:dyDescent="0.2">
      <c r="A21" s="16"/>
      <c r="B21" s="21" t="s">
        <v>73</v>
      </c>
      <c r="C21" s="17" t="s">
        <v>48</v>
      </c>
      <c r="D21" s="17" t="s">
        <v>148</v>
      </c>
      <c r="E21" s="17" t="s">
        <v>148</v>
      </c>
      <c r="F21" s="16"/>
    </row>
    <row r="22" spans="1:6" x14ac:dyDescent="0.2">
      <c r="A22" s="16"/>
      <c r="B22" s="21" t="s">
        <v>74</v>
      </c>
      <c r="C22" s="17" t="s">
        <v>3</v>
      </c>
      <c r="D22" s="17" t="s">
        <v>149</v>
      </c>
      <c r="E22" s="17" t="s">
        <v>149</v>
      </c>
      <c r="F22" s="16"/>
    </row>
    <row r="23" spans="1:6" x14ac:dyDescent="0.2">
      <c r="A23" s="16"/>
      <c r="B23" s="21" t="s">
        <v>75</v>
      </c>
      <c r="C23" s="17" t="s">
        <v>4</v>
      </c>
      <c r="D23" s="17" t="s">
        <v>4</v>
      </c>
      <c r="E23" s="17" t="s">
        <v>4</v>
      </c>
      <c r="F23" s="16"/>
    </row>
    <row r="24" spans="1:6" x14ac:dyDescent="0.2">
      <c r="A24" s="16"/>
      <c r="B24" s="21" t="s">
        <v>76</v>
      </c>
      <c r="C24" s="17" t="s">
        <v>5</v>
      </c>
      <c r="D24" s="17" t="s">
        <v>193</v>
      </c>
      <c r="E24" s="17" t="s">
        <v>150</v>
      </c>
      <c r="F24" s="16"/>
    </row>
    <row r="25" spans="1:6" x14ac:dyDescent="0.2">
      <c r="A25" s="16"/>
      <c r="B25" s="21" t="s">
        <v>77</v>
      </c>
      <c r="C25" s="17" t="s">
        <v>6</v>
      </c>
      <c r="D25" s="17" t="s">
        <v>199</v>
      </c>
      <c r="E25" s="17" t="s">
        <v>151</v>
      </c>
      <c r="F25" s="16"/>
    </row>
    <row r="26" spans="1:6" x14ac:dyDescent="0.2">
      <c r="A26" s="16"/>
      <c r="B26" s="21" t="s">
        <v>78</v>
      </c>
      <c r="C26" s="17" t="s">
        <v>7</v>
      </c>
      <c r="D26" s="17" t="s">
        <v>198</v>
      </c>
      <c r="E26" s="17" t="s">
        <v>152</v>
      </c>
      <c r="F26" s="16"/>
    </row>
    <row r="27" spans="1:6" x14ac:dyDescent="0.2">
      <c r="A27" s="16"/>
      <c r="B27" s="21" t="s">
        <v>85</v>
      </c>
      <c r="C27" s="17" t="s">
        <v>8</v>
      </c>
      <c r="D27" s="17" t="s">
        <v>196</v>
      </c>
      <c r="E27" s="17" t="s">
        <v>153</v>
      </c>
      <c r="F27" s="16"/>
    </row>
    <row r="28" spans="1:6" x14ac:dyDescent="0.2">
      <c r="A28" s="16"/>
      <c r="B28" s="21" t="s">
        <v>86</v>
      </c>
      <c r="C28" s="17" t="s">
        <v>9</v>
      </c>
      <c r="D28" s="17" t="s">
        <v>9</v>
      </c>
      <c r="E28" s="17" t="s">
        <v>154</v>
      </c>
      <c r="F28" s="16"/>
    </row>
    <row r="29" spans="1:6" x14ac:dyDescent="0.2">
      <c r="A29" s="16"/>
      <c r="B29" s="21" t="s">
        <v>87</v>
      </c>
      <c r="C29" s="17" t="s">
        <v>49</v>
      </c>
      <c r="D29" s="17" t="s">
        <v>195</v>
      </c>
      <c r="E29" s="17" t="s">
        <v>155</v>
      </c>
      <c r="F29" s="16"/>
    </row>
    <row r="30" spans="1:6" x14ac:dyDescent="0.2">
      <c r="A30" s="16"/>
      <c r="B30" s="21" t="s">
        <v>88</v>
      </c>
      <c r="C30" s="17" t="s">
        <v>10</v>
      </c>
      <c r="D30" s="17" t="s">
        <v>194</v>
      </c>
      <c r="E30" s="17" t="s">
        <v>156</v>
      </c>
      <c r="F30" s="16"/>
    </row>
    <row r="31" spans="1:6" x14ac:dyDescent="0.2">
      <c r="A31" s="16"/>
      <c r="B31" s="21" t="s">
        <v>89</v>
      </c>
      <c r="C31" s="17" t="s">
        <v>11</v>
      </c>
      <c r="D31" s="17" t="s">
        <v>201</v>
      </c>
      <c r="E31" s="17" t="s">
        <v>157</v>
      </c>
      <c r="F31" s="16"/>
    </row>
    <row r="32" spans="1:6" x14ac:dyDescent="0.2">
      <c r="A32" s="16"/>
      <c r="B32" s="21" t="s">
        <v>90</v>
      </c>
      <c r="C32" s="17" t="s">
        <v>12</v>
      </c>
      <c r="D32" s="17" t="s">
        <v>202</v>
      </c>
      <c r="E32" s="17" t="s">
        <v>158</v>
      </c>
      <c r="F32" s="16"/>
    </row>
    <row r="33" spans="1:6" x14ac:dyDescent="0.2">
      <c r="A33" s="16"/>
      <c r="B33" s="21" t="s">
        <v>91</v>
      </c>
      <c r="C33" s="17" t="s">
        <v>13</v>
      </c>
      <c r="D33" s="17" t="s">
        <v>197</v>
      </c>
      <c r="E33" s="17" t="s">
        <v>159</v>
      </c>
      <c r="F33" s="16"/>
    </row>
    <row r="34" spans="1:6" x14ac:dyDescent="0.2">
      <c r="A34" s="16"/>
      <c r="B34" s="21" t="s">
        <v>92</v>
      </c>
      <c r="C34" s="17" t="s">
        <v>14</v>
      </c>
      <c r="D34" s="17" t="s">
        <v>203</v>
      </c>
      <c r="E34" s="17" t="s">
        <v>160</v>
      </c>
      <c r="F34" s="16"/>
    </row>
    <row r="35" spans="1:6" x14ac:dyDescent="0.2">
      <c r="A35" s="16"/>
      <c r="B35" s="21" t="s">
        <v>93</v>
      </c>
      <c r="C35" s="17" t="s">
        <v>15</v>
      </c>
      <c r="D35" s="17" t="s">
        <v>204</v>
      </c>
      <c r="E35" s="17" t="s">
        <v>161</v>
      </c>
      <c r="F35" s="16"/>
    </row>
    <row r="36" spans="1:6" x14ac:dyDescent="0.2">
      <c r="A36" s="16"/>
      <c r="B36" s="21" t="s">
        <v>94</v>
      </c>
      <c r="C36" s="17" t="s">
        <v>16</v>
      </c>
      <c r="D36" s="17" t="s">
        <v>205</v>
      </c>
      <c r="E36" s="17" t="s">
        <v>162</v>
      </c>
      <c r="F36" s="16"/>
    </row>
    <row r="37" spans="1:6" x14ac:dyDescent="0.2">
      <c r="A37" s="16"/>
      <c r="B37" s="21" t="s">
        <v>95</v>
      </c>
      <c r="C37" s="17" t="s">
        <v>50</v>
      </c>
      <c r="D37" s="17" t="s">
        <v>209</v>
      </c>
      <c r="E37" s="17" t="s">
        <v>163</v>
      </c>
      <c r="F37" s="16"/>
    </row>
    <row r="38" spans="1:6" x14ac:dyDescent="0.2">
      <c r="A38" s="16"/>
      <c r="B38" s="21" t="s">
        <v>96</v>
      </c>
      <c r="C38" s="17" t="s">
        <v>17</v>
      </c>
      <c r="D38" s="17" t="s">
        <v>164</v>
      </c>
      <c r="E38" s="17" t="s">
        <v>164</v>
      </c>
      <c r="F38" s="16"/>
    </row>
    <row r="39" spans="1:6" x14ac:dyDescent="0.2">
      <c r="A39" s="16"/>
      <c r="B39" s="21" t="s">
        <v>97</v>
      </c>
      <c r="C39" s="17" t="s">
        <v>18</v>
      </c>
      <c r="D39" s="17" t="s">
        <v>165</v>
      </c>
      <c r="E39" s="17" t="s">
        <v>165</v>
      </c>
      <c r="F39" s="16"/>
    </row>
    <row r="40" spans="1:6" x14ac:dyDescent="0.2">
      <c r="A40" s="16"/>
      <c r="B40" s="21" t="s">
        <v>98</v>
      </c>
      <c r="C40" s="17" t="s">
        <v>52</v>
      </c>
      <c r="D40" s="17" t="s">
        <v>52</v>
      </c>
      <c r="E40" s="17" t="s">
        <v>166</v>
      </c>
      <c r="F40" s="16"/>
    </row>
    <row r="41" spans="1:6" x14ac:dyDescent="0.2">
      <c r="A41" s="16"/>
      <c r="B41" s="21" t="s">
        <v>99</v>
      </c>
      <c r="C41" s="17" t="s">
        <v>53</v>
      </c>
      <c r="D41" s="17" t="s">
        <v>208</v>
      </c>
      <c r="E41" s="17" t="s">
        <v>167</v>
      </c>
      <c r="F41" s="16"/>
    </row>
    <row r="42" spans="1:6" x14ac:dyDescent="0.2">
      <c r="A42" s="16"/>
      <c r="B42" s="21" t="s">
        <v>100</v>
      </c>
      <c r="C42" s="17" t="s">
        <v>51</v>
      </c>
      <c r="D42" s="17" t="s">
        <v>207</v>
      </c>
      <c r="E42" s="17" t="s">
        <v>168</v>
      </c>
      <c r="F42" s="16"/>
    </row>
    <row r="43" spans="1:6" x14ac:dyDescent="0.2">
      <c r="A43" s="16"/>
      <c r="B43" s="21" t="s">
        <v>101</v>
      </c>
      <c r="C43" s="17" t="s">
        <v>54</v>
      </c>
      <c r="D43" s="17" t="s">
        <v>169</v>
      </c>
      <c r="E43" s="17" t="s">
        <v>169</v>
      </c>
      <c r="F43" s="16"/>
    </row>
    <row r="44" spans="1:6" x14ac:dyDescent="0.2">
      <c r="A44" s="16"/>
      <c r="B44" s="21" t="s">
        <v>102</v>
      </c>
      <c r="C44" s="17" t="s">
        <v>55</v>
      </c>
      <c r="D44" s="17" t="s">
        <v>206</v>
      </c>
      <c r="E44" s="17" t="s">
        <v>170</v>
      </c>
      <c r="F44" s="16"/>
    </row>
    <row r="45" spans="1:6" x14ac:dyDescent="0.2">
      <c r="A45" s="16"/>
      <c r="B45" s="21" t="s">
        <v>103</v>
      </c>
      <c r="C45" s="17" t="s">
        <v>19</v>
      </c>
      <c r="D45" s="17" t="s">
        <v>171</v>
      </c>
      <c r="E45" s="17" t="s">
        <v>171</v>
      </c>
      <c r="F45" s="16"/>
    </row>
    <row r="46" spans="1:6" x14ac:dyDescent="0.2">
      <c r="A46" s="16"/>
      <c r="B46" s="16"/>
      <c r="C46" s="16"/>
      <c r="D46" s="16"/>
      <c r="E46" s="16"/>
      <c r="F46" s="16"/>
    </row>
    <row r="47" spans="1:6" ht="25.5" x14ac:dyDescent="0.2">
      <c r="A47" s="22"/>
      <c r="B47" s="21" t="s">
        <v>79</v>
      </c>
      <c r="C47" s="21" t="s">
        <v>306</v>
      </c>
      <c r="D47" s="21" t="s">
        <v>308</v>
      </c>
      <c r="E47" s="21" t="s">
        <v>307</v>
      </c>
      <c r="F47" s="16"/>
    </row>
    <row r="48" spans="1:6" x14ac:dyDescent="0.2">
      <c r="A48" s="16"/>
      <c r="B48" s="21" t="s">
        <v>80</v>
      </c>
      <c r="C48" s="38" t="s">
        <v>20</v>
      </c>
      <c r="D48" s="14" t="s">
        <v>332</v>
      </c>
      <c r="E48" s="14" t="s">
        <v>333</v>
      </c>
      <c r="F48" s="16"/>
    </row>
    <row r="49" spans="1:6" x14ac:dyDescent="0.2">
      <c r="A49" s="16"/>
      <c r="B49" s="21" t="s">
        <v>81</v>
      </c>
      <c r="C49" s="38" t="s">
        <v>21</v>
      </c>
      <c r="D49" s="14" t="s">
        <v>334</v>
      </c>
      <c r="E49" s="14" t="s">
        <v>335</v>
      </c>
      <c r="F49" s="16"/>
    </row>
    <row r="50" spans="1:6" x14ac:dyDescent="0.2">
      <c r="A50" s="16"/>
      <c r="B50" s="21" t="s">
        <v>82</v>
      </c>
      <c r="C50" s="38" t="s">
        <v>22</v>
      </c>
      <c r="D50" s="14" t="s">
        <v>336</v>
      </c>
      <c r="E50" s="14" t="s">
        <v>337</v>
      </c>
      <c r="F50" s="16"/>
    </row>
    <row r="51" spans="1:6" x14ac:dyDescent="0.2">
      <c r="A51" s="16"/>
      <c r="B51" s="21" t="s">
        <v>305</v>
      </c>
      <c r="C51" s="38" t="s">
        <v>23</v>
      </c>
      <c r="D51" s="14" t="s">
        <v>338</v>
      </c>
      <c r="E51" s="14" t="s">
        <v>339</v>
      </c>
      <c r="F51" s="16"/>
    </row>
    <row r="52" spans="1:6" x14ac:dyDescent="0.2">
      <c r="A52" s="16"/>
      <c r="B52" s="16"/>
      <c r="C52" s="16"/>
      <c r="D52" s="16"/>
      <c r="E52" s="16"/>
      <c r="F52" s="16"/>
    </row>
    <row r="53" spans="1:6" x14ac:dyDescent="0.2">
      <c r="A53" s="16" t="s">
        <v>105</v>
      </c>
      <c r="B53" s="21" t="s">
        <v>104</v>
      </c>
      <c r="C53" s="17" t="s">
        <v>47</v>
      </c>
      <c r="D53" s="17" t="s">
        <v>233</v>
      </c>
      <c r="E53" s="17" t="s">
        <v>146</v>
      </c>
      <c r="F53" s="16"/>
    </row>
    <row r="54" spans="1:6" x14ac:dyDescent="0.2">
      <c r="A54" s="16" t="s">
        <v>62</v>
      </c>
      <c r="B54" s="24" t="s">
        <v>83</v>
      </c>
      <c r="C54" s="20" t="s">
        <v>341</v>
      </c>
      <c r="D54" s="20" t="s">
        <v>342</v>
      </c>
      <c r="E54" s="20" t="s">
        <v>343</v>
      </c>
      <c r="F54" s="16"/>
    </row>
    <row r="55" spans="1:6" x14ac:dyDescent="0.2">
      <c r="A55" s="16"/>
      <c r="B55" s="16"/>
      <c r="C55" s="16"/>
      <c r="D55" s="16"/>
      <c r="E55" s="16"/>
      <c r="F55" s="16"/>
    </row>
    <row r="56" spans="1:6" x14ac:dyDescent="0.2">
      <c r="A56" s="22"/>
      <c r="B56" s="23"/>
      <c r="C56" s="16"/>
      <c r="D56" s="16"/>
      <c r="E56" s="16"/>
      <c r="F56" s="16"/>
    </row>
    <row r="57" spans="1:6" ht="25.5" x14ac:dyDescent="0.2">
      <c r="A57" s="22" t="s">
        <v>106</v>
      </c>
      <c r="B57" s="21" t="s">
        <v>107</v>
      </c>
      <c r="C57" s="18" t="s">
        <v>282</v>
      </c>
      <c r="D57" s="18" t="s">
        <v>283</v>
      </c>
      <c r="E57" s="18" t="s">
        <v>284</v>
      </c>
      <c r="F57" s="16"/>
    </row>
    <row r="58" spans="1:6" x14ac:dyDescent="0.2">
      <c r="A58" s="22"/>
      <c r="B58" s="21" t="s">
        <v>108</v>
      </c>
      <c r="C58" s="40" t="s">
        <v>256</v>
      </c>
      <c r="D58" s="40" t="s">
        <v>257</v>
      </c>
      <c r="E58" s="40" t="s">
        <v>258</v>
      </c>
      <c r="F58" s="16"/>
    </row>
    <row r="59" spans="1:6" x14ac:dyDescent="0.2">
      <c r="A59" s="22"/>
      <c r="B59" s="16"/>
      <c r="C59" s="16"/>
      <c r="D59" s="16"/>
      <c r="E59" s="16"/>
      <c r="F59" s="16"/>
    </row>
    <row r="60" spans="1:6" x14ac:dyDescent="0.2">
      <c r="A60" s="22" t="s">
        <v>106</v>
      </c>
      <c r="B60" s="21" t="s">
        <v>109</v>
      </c>
      <c r="C60" s="17" t="s">
        <v>0</v>
      </c>
      <c r="D60" s="17" t="s">
        <v>0</v>
      </c>
      <c r="E60" s="17" t="s">
        <v>144</v>
      </c>
      <c r="F60" s="16"/>
    </row>
    <row r="61" spans="1:6" x14ac:dyDescent="0.2">
      <c r="A61" s="16"/>
      <c r="B61" s="21" t="s">
        <v>110</v>
      </c>
      <c r="C61" s="17" t="s">
        <v>24</v>
      </c>
      <c r="D61" s="17" t="s">
        <v>212</v>
      </c>
      <c r="E61" s="17" t="s">
        <v>172</v>
      </c>
      <c r="F61" s="16"/>
    </row>
    <row r="62" spans="1:6" x14ac:dyDescent="0.2">
      <c r="A62" s="16"/>
      <c r="B62" s="21" t="s">
        <v>111</v>
      </c>
      <c r="C62" s="17" t="s">
        <v>27</v>
      </c>
      <c r="D62" s="25" t="s">
        <v>213</v>
      </c>
      <c r="E62" s="17" t="s">
        <v>173</v>
      </c>
      <c r="F62" s="16"/>
    </row>
    <row r="63" spans="1:6" x14ac:dyDescent="0.2">
      <c r="A63" s="16"/>
      <c r="B63" s="21" t="s">
        <v>112</v>
      </c>
      <c r="C63" s="17" t="s">
        <v>235</v>
      </c>
      <c r="D63" s="17" t="s">
        <v>236</v>
      </c>
      <c r="E63" s="17" t="s">
        <v>237</v>
      </c>
      <c r="F63" s="16"/>
    </row>
    <row r="64" spans="1:6" x14ac:dyDescent="0.2">
      <c r="A64" s="16"/>
      <c r="B64" s="21" t="s">
        <v>113</v>
      </c>
      <c r="C64" s="21" t="s">
        <v>285</v>
      </c>
      <c r="D64" s="21" t="s">
        <v>287</v>
      </c>
      <c r="E64" s="21" t="s">
        <v>286</v>
      </c>
      <c r="F64" s="16"/>
    </row>
    <row r="65" spans="1:6" x14ac:dyDescent="0.2">
      <c r="A65" s="16"/>
      <c r="B65" s="21" t="s">
        <v>114</v>
      </c>
      <c r="C65" s="17" t="s">
        <v>28</v>
      </c>
      <c r="D65" s="17" t="s">
        <v>214</v>
      </c>
      <c r="E65" s="17" t="s">
        <v>238</v>
      </c>
      <c r="F65" s="16"/>
    </row>
    <row r="66" spans="1:6" x14ac:dyDescent="0.2">
      <c r="A66" s="16"/>
      <c r="B66" s="21" t="s">
        <v>115</v>
      </c>
      <c r="C66" s="17" t="s">
        <v>32</v>
      </c>
      <c r="D66" s="17" t="s">
        <v>215</v>
      </c>
      <c r="E66" s="17" t="s">
        <v>239</v>
      </c>
      <c r="F66" s="16"/>
    </row>
    <row r="67" spans="1:6" x14ac:dyDescent="0.2">
      <c r="A67" s="16"/>
      <c r="B67" s="21" t="s">
        <v>129</v>
      </c>
      <c r="C67" s="17" t="s">
        <v>44</v>
      </c>
      <c r="D67" s="17" t="s">
        <v>216</v>
      </c>
      <c r="E67" s="17" t="s">
        <v>240</v>
      </c>
      <c r="F67" s="16"/>
    </row>
    <row r="68" spans="1:6" x14ac:dyDescent="0.2">
      <c r="A68" s="16"/>
      <c r="B68" s="16"/>
      <c r="C68" s="16"/>
      <c r="D68" s="16"/>
      <c r="E68" s="16"/>
      <c r="F68" s="16"/>
    </row>
    <row r="69" spans="1:6" x14ac:dyDescent="0.2">
      <c r="A69" s="16"/>
      <c r="B69" s="21" t="s">
        <v>118</v>
      </c>
      <c r="C69" s="17" t="s">
        <v>25</v>
      </c>
      <c r="D69" s="17" t="s">
        <v>210</v>
      </c>
      <c r="E69" s="17" t="s">
        <v>174</v>
      </c>
      <c r="F69" s="16"/>
    </row>
    <row r="70" spans="1:6" x14ac:dyDescent="0.2">
      <c r="A70" s="16"/>
      <c r="B70" s="21" t="s">
        <v>119</v>
      </c>
      <c r="C70" s="17" t="s">
        <v>26</v>
      </c>
      <c r="D70" s="17" t="s">
        <v>211</v>
      </c>
      <c r="E70" s="17" t="s">
        <v>175</v>
      </c>
      <c r="F70" s="16"/>
    </row>
    <row r="71" spans="1:6" x14ac:dyDescent="0.2">
      <c r="A71" s="16"/>
      <c r="B71" s="21" t="s">
        <v>120</v>
      </c>
      <c r="C71" s="17" t="s">
        <v>241</v>
      </c>
      <c r="D71" s="17" t="s">
        <v>241</v>
      </c>
      <c r="E71" s="17" t="s">
        <v>241</v>
      </c>
      <c r="F71" s="16"/>
    </row>
    <row r="72" spans="1:6" x14ac:dyDescent="0.2">
      <c r="A72" s="16"/>
      <c r="B72" s="21" t="s">
        <v>121</v>
      </c>
      <c r="C72" s="17" t="s">
        <v>289</v>
      </c>
      <c r="D72" s="17" t="s">
        <v>289</v>
      </c>
      <c r="E72" s="17" t="s">
        <v>289</v>
      </c>
      <c r="F72" s="16"/>
    </row>
    <row r="73" spans="1:6" x14ac:dyDescent="0.2">
      <c r="A73" s="16"/>
      <c r="B73" s="21" t="s">
        <v>130</v>
      </c>
      <c r="C73" s="17" t="s">
        <v>288</v>
      </c>
      <c r="D73" s="17" t="s">
        <v>288</v>
      </c>
      <c r="E73" s="17" t="s">
        <v>288</v>
      </c>
      <c r="F73" s="16"/>
    </row>
    <row r="74" spans="1:6" x14ac:dyDescent="0.2">
      <c r="A74" s="16"/>
      <c r="B74" s="21" t="s">
        <v>131</v>
      </c>
      <c r="C74" s="17" t="s">
        <v>242</v>
      </c>
      <c r="D74" s="17" t="s">
        <v>243</v>
      </c>
      <c r="E74" s="17" t="s">
        <v>244</v>
      </c>
      <c r="F74" s="16"/>
    </row>
    <row r="75" spans="1:6" x14ac:dyDescent="0.2">
      <c r="A75" s="16"/>
      <c r="B75" s="21" t="s">
        <v>122</v>
      </c>
      <c r="C75" s="17" t="s">
        <v>247</v>
      </c>
      <c r="D75" s="17" t="s">
        <v>246</v>
      </c>
      <c r="E75" s="17" t="s">
        <v>245</v>
      </c>
      <c r="F75" s="16"/>
    </row>
    <row r="76" spans="1:6" x14ac:dyDescent="0.2">
      <c r="A76" s="16"/>
      <c r="B76" s="21" t="s">
        <v>123</v>
      </c>
      <c r="C76" s="17" t="s">
        <v>292</v>
      </c>
      <c r="D76" s="17" t="s">
        <v>297</v>
      </c>
      <c r="E76" s="17" t="s">
        <v>301</v>
      </c>
      <c r="F76" s="16"/>
    </row>
    <row r="77" spans="1:6" x14ac:dyDescent="0.2">
      <c r="A77" s="16"/>
      <c r="B77" s="21" t="s">
        <v>290</v>
      </c>
      <c r="C77" s="17" t="s">
        <v>293</v>
      </c>
      <c r="D77" s="17" t="s">
        <v>298</v>
      </c>
      <c r="E77" s="17" t="s">
        <v>302</v>
      </c>
      <c r="F77" s="16"/>
    </row>
    <row r="78" spans="1:6" x14ac:dyDescent="0.2">
      <c r="A78" s="16"/>
      <c r="B78" s="21" t="s">
        <v>291</v>
      </c>
      <c r="C78" s="17" t="s">
        <v>294</v>
      </c>
      <c r="D78" s="17" t="s">
        <v>299</v>
      </c>
      <c r="E78" s="17" t="s">
        <v>303</v>
      </c>
      <c r="F78" s="16"/>
    </row>
    <row r="79" spans="1:6" x14ac:dyDescent="0.2">
      <c r="A79" s="16"/>
      <c r="B79" s="21" t="s">
        <v>296</v>
      </c>
      <c r="C79" s="17" t="s">
        <v>295</v>
      </c>
      <c r="D79" s="17" t="s">
        <v>300</v>
      </c>
      <c r="E79" s="17" t="s">
        <v>304</v>
      </c>
      <c r="F79" s="16"/>
    </row>
    <row r="80" spans="1:6" x14ac:dyDescent="0.2">
      <c r="A80" s="16"/>
      <c r="B80" s="21" t="s">
        <v>124</v>
      </c>
      <c r="C80" s="17" t="s">
        <v>314</v>
      </c>
      <c r="D80" s="17" t="s">
        <v>322</v>
      </c>
      <c r="E80" s="17" t="s">
        <v>323</v>
      </c>
      <c r="F80" s="16"/>
    </row>
    <row r="81" spans="1:6" x14ac:dyDescent="0.2">
      <c r="A81" s="16"/>
      <c r="B81" s="21" t="s">
        <v>125</v>
      </c>
      <c r="C81" s="17" t="s">
        <v>315</v>
      </c>
      <c r="D81" s="17" t="s">
        <v>324</v>
      </c>
      <c r="E81" s="17" t="s">
        <v>325</v>
      </c>
      <c r="F81" s="16"/>
    </row>
    <row r="82" spans="1:6" x14ac:dyDescent="0.2">
      <c r="A82" s="16"/>
      <c r="B82" s="21" t="s">
        <v>248</v>
      </c>
      <c r="C82" s="17" t="s">
        <v>316</v>
      </c>
      <c r="D82" s="17" t="s">
        <v>326</v>
      </c>
      <c r="E82" s="17" t="s">
        <v>327</v>
      </c>
      <c r="F82" s="16"/>
    </row>
    <row r="83" spans="1:6" ht="25.5" x14ac:dyDescent="0.2">
      <c r="A83" s="16"/>
      <c r="B83" s="21" t="s">
        <v>312</v>
      </c>
      <c r="C83" s="17" t="s">
        <v>317</v>
      </c>
      <c r="D83" s="17" t="s">
        <v>328</v>
      </c>
      <c r="E83" s="17" t="s">
        <v>329</v>
      </c>
      <c r="F83" s="16"/>
    </row>
    <row r="84" spans="1:6" x14ac:dyDescent="0.2">
      <c r="A84" s="16"/>
      <c r="B84" s="21" t="s">
        <v>313</v>
      </c>
      <c r="C84" s="17" t="s">
        <v>318</v>
      </c>
      <c r="D84" s="17" t="s">
        <v>330</v>
      </c>
      <c r="E84" s="17" t="s">
        <v>331</v>
      </c>
      <c r="F84" s="16"/>
    </row>
    <row r="85" spans="1:6" x14ac:dyDescent="0.2">
      <c r="A85" s="16"/>
      <c r="B85" s="21" t="s">
        <v>311</v>
      </c>
      <c r="C85" s="17" t="s">
        <v>29</v>
      </c>
      <c r="D85" s="17" t="s">
        <v>231</v>
      </c>
      <c r="E85" s="17" t="s">
        <v>176</v>
      </c>
      <c r="F85" s="16"/>
    </row>
    <row r="86" spans="1:6" x14ac:dyDescent="0.2">
      <c r="A86" s="16"/>
      <c r="B86" s="21" t="s">
        <v>310</v>
      </c>
      <c r="C86" s="17" t="s">
        <v>30</v>
      </c>
      <c r="D86" s="17" t="s">
        <v>230</v>
      </c>
      <c r="E86" s="17" t="s">
        <v>177</v>
      </c>
      <c r="F86" s="16"/>
    </row>
    <row r="87" spans="1:6" x14ac:dyDescent="0.2">
      <c r="A87" s="16"/>
      <c r="B87" s="21" t="s">
        <v>309</v>
      </c>
      <c r="C87" s="17" t="s">
        <v>31</v>
      </c>
      <c r="D87" s="17" t="s">
        <v>230</v>
      </c>
      <c r="E87" s="17" t="s">
        <v>178</v>
      </c>
      <c r="F87" s="16"/>
    </row>
    <row r="88" spans="1:6" x14ac:dyDescent="0.2">
      <c r="A88" s="16"/>
      <c r="B88" s="21" t="s">
        <v>126</v>
      </c>
      <c r="C88" s="17" t="s">
        <v>33</v>
      </c>
      <c r="D88" s="17" t="s">
        <v>229</v>
      </c>
      <c r="E88" s="17" t="s">
        <v>179</v>
      </c>
      <c r="F88" s="16"/>
    </row>
    <row r="89" spans="1:6" x14ac:dyDescent="0.2">
      <c r="A89" s="16"/>
      <c r="B89" s="21" t="s">
        <v>127</v>
      </c>
      <c r="C89" s="17" t="s">
        <v>34</v>
      </c>
      <c r="D89" s="17" t="s">
        <v>217</v>
      </c>
      <c r="E89" s="17" t="s">
        <v>180</v>
      </c>
      <c r="F89" s="16"/>
    </row>
    <row r="90" spans="1:6" x14ac:dyDescent="0.2">
      <c r="A90" s="16"/>
      <c r="B90" s="21" t="s">
        <v>128</v>
      </c>
      <c r="C90" s="17" t="s">
        <v>35</v>
      </c>
      <c r="D90" s="17" t="s">
        <v>218</v>
      </c>
      <c r="E90" s="17" t="s">
        <v>181</v>
      </c>
      <c r="F90" s="16"/>
    </row>
    <row r="91" spans="1:6" x14ac:dyDescent="0.2">
      <c r="A91" s="16"/>
      <c r="B91" s="21" t="s">
        <v>132</v>
      </c>
      <c r="C91" s="17" t="s">
        <v>36</v>
      </c>
      <c r="D91" s="17" t="s">
        <v>219</v>
      </c>
      <c r="E91" s="17" t="s">
        <v>182</v>
      </c>
      <c r="F91" s="16"/>
    </row>
    <row r="92" spans="1:6" x14ac:dyDescent="0.2">
      <c r="A92" s="16"/>
      <c r="B92" s="21" t="s">
        <v>133</v>
      </c>
      <c r="C92" s="17" t="s">
        <v>37</v>
      </c>
      <c r="D92" s="17" t="s">
        <v>220</v>
      </c>
      <c r="E92" s="17" t="s">
        <v>183</v>
      </c>
      <c r="F92" s="16"/>
    </row>
    <row r="93" spans="1:6" x14ac:dyDescent="0.2">
      <c r="A93" s="16"/>
      <c r="B93" s="21" t="s">
        <v>134</v>
      </c>
      <c r="C93" s="17" t="s">
        <v>38</v>
      </c>
      <c r="D93" s="17" t="s">
        <v>221</v>
      </c>
      <c r="E93" s="17" t="s">
        <v>184</v>
      </c>
      <c r="F93" s="16"/>
    </row>
    <row r="94" spans="1:6" x14ac:dyDescent="0.2">
      <c r="A94" s="16"/>
      <c r="B94" s="21" t="s">
        <v>135</v>
      </c>
      <c r="C94" s="17" t="s">
        <v>39</v>
      </c>
      <c r="D94" s="17" t="s">
        <v>222</v>
      </c>
      <c r="E94" s="17" t="s">
        <v>185</v>
      </c>
      <c r="F94" s="16"/>
    </row>
    <row r="95" spans="1:6" x14ac:dyDescent="0.2">
      <c r="A95" s="16"/>
      <c r="B95" s="21" t="s">
        <v>136</v>
      </c>
      <c r="C95" s="17" t="s">
        <v>40</v>
      </c>
      <c r="D95" s="17" t="s">
        <v>223</v>
      </c>
      <c r="E95" s="17" t="s">
        <v>186</v>
      </c>
      <c r="F95" s="16"/>
    </row>
    <row r="96" spans="1:6" ht="25.5" x14ac:dyDescent="0.2">
      <c r="A96" s="16"/>
      <c r="B96" s="21" t="s">
        <v>137</v>
      </c>
      <c r="C96" s="17" t="s">
        <v>41</v>
      </c>
      <c r="D96" s="17" t="s">
        <v>224</v>
      </c>
      <c r="E96" s="17" t="s">
        <v>187</v>
      </c>
      <c r="F96" s="16"/>
    </row>
    <row r="97" spans="1:6" ht="38.25" x14ac:dyDescent="0.2">
      <c r="A97" s="16"/>
      <c r="B97" s="21" t="s">
        <v>138</v>
      </c>
      <c r="C97" s="17" t="s">
        <v>42</v>
      </c>
      <c r="D97" s="17" t="s">
        <v>225</v>
      </c>
      <c r="E97" s="17" t="s">
        <v>188</v>
      </c>
      <c r="F97" s="16"/>
    </row>
    <row r="98" spans="1:6" ht="25.5" x14ac:dyDescent="0.2">
      <c r="A98" s="16"/>
      <c r="B98" s="21" t="s">
        <v>139</v>
      </c>
      <c r="C98" s="17" t="s">
        <v>43</v>
      </c>
      <c r="D98" s="17" t="s">
        <v>226</v>
      </c>
      <c r="E98" s="17" t="s">
        <v>189</v>
      </c>
      <c r="F98" s="16"/>
    </row>
    <row r="99" spans="1:6" x14ac:dyDescent="0.2">
      <c r="A99" s="16"/>
      <c r="B99" s="21" t="s">
        <v>140</v>
      </c>
      <c r="C99" s="17" t="s">
        <v>249</v>
      </c>
      <c r="D99" s="17" t="s">
        <v>250</v>
      </c>
      <c r="E99" s="17" t="s">
        <v>190</v>
      </c>
      <c r="F99" s="16"/>
    </row>
    <row r="100" spans="1:6" x14ac:dyDescent="0.2">
      <c r="A100" s="16"/>
      <c r="B100" s="21" t="s">
        <v>141</v>
      </c>
      <c r="C100" s="17" t="s">
        <v>45</v>
      </c>
      <c r="D100" s="17" t="s">
        <v>227</v>
      </c>
      <c r="E100" s="17" t="s">
        <v>191</v>
      </c>
      <c r="F100" s="16"/>
    </row>
    <row r="101" spans="1:6" x14ac:dyDescent="0.2">
      <c r="A101" s="16"/>
      <c r="B101" s="21" t="s">
        <v>142</v>
      </c>
      <c r="C101" s="17" t="s">
        <v>46</v>
      </c>
      <c r="D101" s="17" t="s">
        <v>228</v>
      </c>
      <c r="E101" s="17" t="s">
        <v>192</v>
      </c>
      <c r="F101" s="16"/>
    </row>
    <row r="102" spans="1:6" x14ac:dyDescent="0.2">
      <c r="A102" s="16"/>
      <c r="B102" s="16"/>
      <c r="C102" s="16"/>
      <c r="D102" s="16"/>
      <c r="E102" s="16"/>
      <c r="F102" s="16"/>
    </row>
    <row r="103" spans="1:6" x14ac:dyDescent="0.2">
      <c r="A103" s="16" t="s">
        <v>106</v>
      </c>
      <c r="B103" s="24" t="s">
        <v>143</v>
      </c>
      <c r="C103" s="20" t="s">
        <v>319</v>
      </c>
      <c r="D103" s="20" t="s">
        <v>320</v>
      </c>
      <c r="E103" s="20" t="s">
        <v>321</v>
      </c>
      <c r="F103" s="16"/>
    </row>
    <row r="104" spans="1:6" x14ac:dyDescent="0.2">
      <c r="A104" s="16"/>
      <c r="B104" s="16"/>
      <c r="C104" s="16"/>
      <c r="D104" s="16"/>
      <c r="E104" s="16"/>
      <c r="F104" s="16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1025</Benutzerdefinierte_x0020_ID>
    <Titel_RM xmlns="9d1f6504-c754-4527-a358-047ce8521f96">Enquista da structura da la populaziun – linguas principalas, 2023</Titel_RM>
    <Titel_DE xmlns="9d1f6504-c754-4527-a358-047ce8521f96">Strukturerhebung Bevölkerung - Hauptsprachen, 2023</Titel_DE>
    <PublishingExpirationDate xmlns="http://schemas.microsoft.com/sharepoint/v3" xsi:nil="true"/>
    <Kategorie xmlns="9d1f6504-c754-4527-a358-047ce8521f96">Sprache, Religion</Kategorie>
    <PublishingStartDate xmlns="http://schemas.microsoft.com/sharepoint/v3" xsi:nil="true"/>
    <Titel_IT xmlns="9d1f6504-c754-4527-a358-047ce8521f96">Rilevazione strutturale della popolazione - lingue principali, 2023</Titel_IT>
  </documentManagement>
</p:properties>
</file>

<file path=customXml/itemProps1.xml><?xml version="1.0" encoding="utf-8"?>
<ds:datastoreItem xmlns:ds="http://schemas.openxmlformats.org/officeDocument/2006/customXml" ds:itemID="{935E396B-DADC-4E36-B52C-6CDF411DB186}"/>
</file>

<file path=customXml/itemProps2.xml><?xml version="1.0" encoding="utf-8"?>
<ds:datastoreItem xmlns:ds="http://schemas.openxmlformats.org/officeDocument/2006/customXml" ds:itemID="{D711A036-2030-4CD7-8613-A49B6FE6DC9E}"/>
</file>

<file path=customXml/itemProps3.xml><?xml version="1.0" encoding="utf-8"?>
<ds:datastoreItem xmlns:ds="http://schemas.openxmlformats.org/officeDocument/2006/customXml" ds:itemID="{5F8A1645-E6B8-4D86-881D-8F485146559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Kantone</vt:lpstr>
      <vt:lpstr>Graubünden</vt:lpstr>
      <vt:lpstr>Uebersetzungen</vt:lpstr>
      <vt:lpstr>Graubünden!Druckbereich</vt:lpstr>
      <vt:lpstr>Kantone!Druckbereich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Bevölkerung nach Hauptsprache</dc:title>
  <dc:creator>Luzius.Stricker@awt.gr.ch</dc:creator>
  <cp:lastModifiedBy>Monstein Urs</cp:lastModifiedBy>
  <cp:lastPrinted>2018-12-06T18:35:59Z</cp:lastPrinted>
  <dcterms:created xsi:type="dcterms:W3CDTF">2012-06-17T15:40:31Z</dcterms:created>
  <dcterms:modified xsi:type="dcterms:W3CDTF">2025-02-17T09:57:30Z</dcterms:modified>
  <cp:category>SE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0x01010095A83D2D9087C0499BBDDADFE9564913</vt:lpwstr>
  </property>
</Properties>
</file>